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ie\OneDrive\PRT 5395\"/>
    </mc:Choice>
  </mc:AlternateContent>
  <bookViews>
    <workbookView xWindow="0" yWindow="0" windowWidth="11490" windowHeight="4455" tabRatio="789" firstSheet="2" activeTab="6"/>
  </bookViews>
  <sheets>
    <sheet name="2015 Summary" sheetId="1" r:id="rId1"/>
    <sheet name="2015 Revenues" sheetId="2" r:id="rId2"/>
    <sheet name="2015 Expenditures" sheetId="3" r:id="rId3"/>
    <sheet name="2015 Capital Budget" sheetId="4" r:id="rId4"/>
    <sheet name="2016 Summary" sheetId="5" r:id="rId5"/>
    <sheet name="2016 Revenues" sheetId="6" r:id="rId6"/>
    <sheet name="2016 Expenditures" sheetId="7" r:id="rId7"/>
    <sheet name="2016 Capital Budget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6" l="1"/>
  <c r="C30" i="6"/>
  <c r="D24" i="7" l="1"/>
  <c r="C3" i="5" s="1"/>
  <c r="C24" i="7"/>
  <c r="D7" i="5"/>
  <c r="C7" i="5"/>
  <c r="B7" i="5"/>
  <c r="D5" i="5"/>
  <c r="C5" i="5"/>
  <c r="B5" i="5"/>
  <c r="C4" i="5"/>
  <c r="B3" i="5"/>
  <c r="B2" i="5"/>
  <c r="C21" i="7" l="1"/>
  <c r="C22" i="7"/>
  <c r="E4" i="6"/>
  <c r="E9" i="7"/>
  <c r="C15" i="7"/>
  <c r="C14" i="7"/>
  <c r="C13" i="7"/>
  <c r="C12" i="7"/>
  <c r="C7" i="7"/>
  <c r="C11" i="7"/>
  <c r="C9" i="7"/>
  <c r="C8" i="7"/>
  <c r="E30" i="6" l="1"/>
  <c r="D2" i="5" s="1"/>
  <c r="C2" i="5"/>
  <c r="D67" i="7"/>
  <c r="C67" i="7"/>
  <c r="E5" i="8"/>
  <c r="E8" i="8"/>
  <c r="E3" i="8"/>
  <c r="D8" i="8"/>
  <c r="E8" i="7"/>
  <c r="E11" i="7"/>
  <c r="E12" i="7"/>
  <c r="E13" i="7"/>
  <c r="E14" i="7"/>
  <c r="E15" i="7"/>
  <c r="E17" i="7"/>
  <c r="E18" i="7"/>
  <c r="E29" i="7"/>
  <c r="E30" i="7"/>
  <c r="E31" i="7"/>
  <c r="E32" i="7"/>
  <c r="E33" i="7"/>
  <c r="E34" i="7"/>
  <c r="E35" i="7"/>
  <c r="E36" i="7"/>
  <c r="E39" i="7"/>
  <c r="E40" i="7"/>
  <c r="E41" i="7"/>
  <c r="E44" i="7"/>
  <c r="E45" i="7"/>
  <c r="E47" i="7"/>
  <c r="E48" i="7"/>
  <c r="E49" i="7"/>
  <c r="E52" i="7"/>
  <c r="E53" i="7"/>
  <c r="E59" i="7"/>
  <c r="E7" i="7"/>
  <c r="D62" i="7"/>
  <c r="D55" i="7"/>
  <c r="D22" i="7"/>
  <c r="D21" i="7"/>
  <c r="E5" i="6"/>
  <c r="E6" i="6"/>
  <c r="E8" i="6"/>
  <c r="E9" i="6"/>
  <c r="E10" i="6"/>
  <c r="E11" i="6"/>
  <c r="E12" i="6"/>
  <c r="E13" i="6"/>
  <c r="E16" i="6"/>
  <c r="E17" i="6"/>
  <c r="E18" i="6"/>
  <c r="E21" i="6"/>
  <c r="E22" i="6"/>
  <c r="E23" i="6"/>
  <c r="E3" i="6"/>
  <c r="D65" i="7" l="1"/>
  <c r="C6" i="5" s="1"/>
  <c r="E67" i="7"/>
  <c r="C46" i="7"/>
  <c r="E46" i="7" s="1"/>
  <c r="C60" i="7"/>
  <c r="E27" i="8"/>
  <c r="D27" i="8"/>
  <c r="C27" i="8"/>
  <c r="C8" i="8"/>
  <c r="E22" i="7"/>
  <c r="E21" i="7"/>
  <c r="D6" i="1"/>
  <c r="C6" i="1"/>
  <c r="B6" i="1"/>
  <c r="D5" i="1"/>
  <c r="C5" i="1"/>
  <c r="B5" i="1"/>
  <c r="D4" i="1"/>
  <c r="C4" i="1"/>
  <c r="B4" i="1"/>
  <c r="D3" i="1"/>
  <c r="C3" i="1"/>
  <c r="B3" i="1"/>
  <c r="C2" i="1"/>
  <c r="D27" i="2"/>
  <c r="D66" i="3" s="1"/>
  <c r="E3" i="4"/>
  <c r="E5" i="4"/>
  <c r="E10" i="3"/>
  <c r="E11" i="3"/>
  <c r="E12" i="3"/>
  <c r="E13" i="3"/>
  <c r="E14" i="3"/>
  <c r="E15" i="3"/>
  <c r="E16" i="3"/>
  <c r="E17" i="3"/>
  <c r="E18" i="3"/>
  <c r="E20" i="3"/>
  <c r="E21" i="3"/>
  <c r="E23" i="3"/>
  <c r="E28" i="3"/>
  <c r="E29" i="3"/>
  <c r="E30" i="3"/>
  <c r="E31" i="3"/>
  <c r="E32" i="3"/>
  <c r="E33" i="3"/>
  <c r="E34" i="3"/>
  <c r="E35" i="3"/>
  <c r="E38" i="3"/>
  <c r="E39" i="3"/>
  <c r="E40" i="3"/>
  <c r="E43" i="3"/>
  <c r="E44" i="3"/>
  <c r="E45" i="3"/>
  <c r="E46" i="3"/>
  <c r="E47" i="3"/>
  <c r="E48" i="3"/>
  <c r="E51" i="3"/>
  <c r="E52" i="3"/>
  <c r="E54" i="3"/>
  <c r="E58" i="3"/>
  <c r="E59" i="3"/>
  <c r="E61" i="3"/>
  <c r="E64" i="3"/>
  <c r="E9" i="3"/>
  <c r="E6" i="2"/>
  <c r="E7" i="2"/>
  <c r="E8" i="2"/>
  <c r="E10" i="2"/>
  <c r="E11" i="2"/>
  <c r="E12" i="2"/>
  <c r="E13" i="2"/>
  <c r="E14" i="2"/>
  <c r="E15" i="2"/>
  <c r="E18" i="2"/>
  <c r="E19" i="2"/>
  <c r="E20" i="2"/>
  <c r="E23" i="2"/>
  <c r="E24" i="2"/>
  <c r="E25" i="2"/>
  <c r="E5" i="2"/>
  <c r="D8" i="4"/>
  <c r="E8" i="4" s="1"/>
  <c r="D7" i="1" s="1"/>
  <c r="C8" i="4"/>
  <c r="B7" i="1" s="1"/>
  <c r="D64" i="3"/>
  <c r="C64" i="3"/>
  <c r="C62" i="7" l="1"/>
  <c r="E62" i="7" s="1"/>
  <c r="E60" i="7"/>
  <c r="E24" i="7"/>
  <c r="D3" i="5" s="1"/>
  <c r="C55" i="7"/>
  <c r="C7" i="1"/>
  <c r="F27" i="8"/>
  <c r="D54" i="3"/>
  <c r="C54" i="3"/>
  <c r="D23" i="3"/>
  <c r="C23" i="3"/>
  <c r="D21" i="3"/>
  <c r="D20" i="3"/>
  <c r="C21" i="3"/>
  <c r="C20" i="3"/>
  <c r="D61" i="3"/>
  <c r="C61" i="3"/>
  <c r="C27" i="2"/>
  <c r="E55" i="7" l="1"/>
  <c r="D4" i="5" s="1"/>
  <c r="B4" i="5"/>
  <c r="C65" i="7"/>
  <c r="H27" i="8"/>
  <c r="G27" i="8"/>
  <c r="B2" i="1"/>
  <c r="C66" i="3"/>
  <c r="E66" i="3" s="1"/>
  <c r="E27" i="2"/>
  <c r="D2" i="1" s="1"/>
  <c r="E65" i="7" l="1"/>
  <c r="D6" i="5" s="1"/>
  <c r="B6" i="5"/>
</calcChain>
</file>

<file path=xl/sharedStrings.xml><?xml version="1.0" encoding="utf-8"?>
<sst xmlns="http://schemas.openxmlformats.org/spreadsheetml/2006/main" count="288" uniqueCount="142">
  <si>
    <t>REVENUE</t>
  </si>
  <si>
    <t>Object Class</t>
  </si>
  <si>
    <t>Account Name</t>
  </si>
  <si>
    <t>Approved Budget</t>
  </si>
  <si>
    <t>Actuals  12/31/15</t>
  </si>
  <si>
    <t>10-0000</t>
  </si>
  <si>
    <t>FUNDRAISING REVENUE</t>
  </si>
  <si>
    <t>10-100</t>
  </si>
  <si>
    <t>Promotions / Sponsorships</t>
  </si>
  <si>
    <t>10-200</t>
  </si>
  <si>
    <t>Food and Beverage Sales</t>
  </si>
  <si>
    <t>10-300</t>
  </si>
  <si>
    <t>Training and Certification Course Fees</t>
  </si>
  <si>
    <t>10-400</t>
  </si>
  <si>
    <t>Apparel, supplies, and equipment Sales</t>
  </si>
  <si>
    <t>20-000</t>
  </si>
  <si>
    <t>CONTRACT REVENUE</t>
  </si>
  <si>
    <t>20-100</t>
  </si>
  <si>
    <t>Veteran’s Administration Rehab Contract</t>
  </si>
  <si>
    <t>20-200</t>
  </si>
  <si>
    <t>Zappos Corporate Training Contract</t>
  </si>
  <si>
    <t>20-300</t>
  </si>
  <si>
    <t>Department of Social Services Conference</t>
  </si>
  <si>
    <t>20-400</t>
  </si>
  <si>
    <t>Wounded Warriors Foundation Conference</t>
  </si>
  <si>
    <t>20-500</t>
  </si>
  <si>
    <t>Outdoor Recreation Association Contract</t>
  </si>
  <si>
    <t>20-600</t>
  </si>
  <si>
    <t>IBM Corporate Training Contract</t>
  </si>
  <si>
    <t>30-000</t>
  </si>
  <si>
    <t>ROCK CLIMBING PROGRAM REVENUE</t>
  </si>
  <si>
    <t>30-100</t>
  </si>
  <si>
    <t>General Hotel Guest Program Fees</t>
  </si>
  <si>
    <t>30-200</t>
  </si>
  <si>
    <t>Military and Vets Climbing Program Fees</t>
  </si>
  <si>
    <t>30-300</t>
  </si>
  <si>
    <t>Private Groups</t>
  </si>
  <si>
    <t>40-000</t>
  </si>
  <si>
    <t>SKIING PROGRAM REVENUE</t>
  </si>
  <si>
    <t>40-100</t>
  </si>
  <si>
    <t>40-200</t>
  </si>
  <si>
    <t>Adaptive Skiing Program Fees</t>
  </si>
  <si>
    <t>40-300</t>
  </si>
  <si>
    <r>
      <t xml:space="preserve">          </t>
    </r>
    <r>
      <rPr>
        <b/>
        <u/>
        <sz val="12"/>
        <color theme="1"/>
        <rFont val="Times New Roman"/>
        <family val="1"/>
      </rPr>
      <t>TOTAL REVENUE</t>
    </r>
  </si>
  <si>
    <t xml:space="preserve">EXPENSES </t>
  </si>
  <si>
    <t xml:space="preserve">Object </t>
  </si>
  <si>
    <t>Class</t>
  </si>
  <si>
    <t>Actuals 12/31/15</t>
  </si>
  <si>
    <t>PERSONNEL EXPENSES</t>
  </si>
  <si>
    <t>SALARIES AND WAGES</t>
  </si>
  <si>
    <t>FT Manager salary</t>
  </si>
  <si>
    <t>FT Climbing Program Coordinator salary</t>
  </si>
  <si>
    <t>FT Skiing Program Coordinator salary</t>
  </si>
  <si>
    <t>FT Marketing and Sales Director salary</t>
  </si>
  <si>
    <t>FT Office Manager salary</t>
  </si>
  <si>
    <t>PT Office Assistant salary</t>
  </si>
  <si>
    <t>PT Activity Leader wages</t>
  </si>
  <si>
    <t>PT Bus Drivers</t>
  </si>
  <si>
    <t>Internship stipends</t>
  </si>
  <si>
    <t>Bonuses</t>
  </si>
  <si>
    <t>FT Benefits (50% of Salary)</t>
  </si>
  <si>
    <t>PT Benefits (20% of wages, stipends, bonuses)</t>
  </si>
  <si>
    <t>TOTAL PERSONNEL EXPENSES</t>
  </si>
  <si>
    <t>OPERATING EXPENSES</t>
  </si>
  <si>
    <t>SERVICES</t>
  </si>
  <si>
    <t>Postage</t>
  </si>
  <si>
    <t>Telephone</t>
  </si>
  <si>
    <t>Printing</t>
  </si>
  <si>
    <t>Public Relations  / Community Events</t>
  </si>
  <si>
    <t>Publications / Advertising</t>
  </si>
  <si>
    <t>Utilities</t>
  </si>
  <si>
    <t>Vehicle Repairs and Maintenance</t>
  </si>
  <si>
    <t>Consultants</t>
  </si>
  <si>
    <t>SUPPLIES</t>
  </si>
  <si>
    <t>Office Supplies</t>
  </si>
  <si>
    <t>Fuel Expense</t>
  </si>
  <si>
    <t>Program Supplies</t>
  </si>
  <si>
    <t>OTHER EXPENSES</t>
  </si>
  <si>
    <t>Warehouse Rent</t>
  </si>
  <si>
    <t>Equipment Rental</t>
  </si>
  <si>
    <t>Liability Insurance</t>
  </si>
  <si>
    <t>Training / Certifications</t>
  </si>
  <si>
    <t>Subscriptions / Memberships</t>
  </si>
  <si>
    <t>Misc Fees and Charges</t>
  </si>
  <si>
    <t>DEBT PAYMENTS</t>
  </si>
  <si>
    <t>Vehicle loan payments – 2014 Van</t>
  </si>
  <si>
    <t>Vehicle loan payments – 2015 Van</t>
  </si>
  <si>
    <t>TOTAL OPERATING EXPENSES</t>
  </si>
  <si>
    <t>DEPRECIATION EXPENSES</t>
  </si>
  <si>
    <t>Furniture and Equipment Depreciation Expense</t>
  </si>
  <si>
    <t>Motor Vehicles Depreciation Expense</t>
  </si>
  <si>
    <t>TOTAL DEPRECIATION EXPENSES</t>
  </si>
  <si>
    <r>
      <t xml:space="preserve">          </t>
    </r>
    <r>
      <rPr>
        <b/>
        <u/>
        <sz val="12"/>
        <color theme="1"/>
        <rFont val="Times New Roman"/>
        <family val="1"/>
      </rPr>
      <t>TOTAL EXPENSES</t>
    </r>
  </si>
  <si>
    <r>
      <t xml:space="preserve">          NET INCOME: </t>
    </r>
    <r>
      <rPr>
        <sz val="12"/>
        <color theme="1"/>
        <rFont val="Times New Roman"/>
        <family val="1"/>
      </rPr>
      <t>(profit or loss)</t>
    </r>
  </si>
  <si>
    <t>Source of funds:  Credit Union Vehicle Loan</t>
  </si>
  <si>
    <t>Adaptive Ski Equipment Purchase</t>
  </si>
  <si>
    <t xml:space="preserve">Source of funds: Veteran’s Admin Rehab Contract </t>
  </si>
  <si>
    <r>
      <t xml:space="preserve">          </t>
    </r>
    <r>
      <rPr>
        <b/>
        <u/>
        <sz val="12"/>
        <color theme="1"/>
        <rFont val="Times New Roman"/>
        <family val="1"/>
      </rPr>
      <t>TOTAL CAPITAL EXPENSES</t>
    </r>
  </si>
  <si>
    <t xml:space="preserve"> </t>
  </si>
  <si>
    <t>Vehicle Purchase – 2015 Van</t>
  </si>
  <si>
    <t>Percent of Approved Budget</t>
  </si>
  <si>
    <t xml:space="preserve">Approved Budget </t>
  </si>
  <si>
    <t xml:space="preserve">Total Revenues </t>
  </si>
  <si>
    <t>Total Personnel Expenses</t>
  </si>
  <si>
    <t>Total Operating Expenses</t>
  </si>
  <si>
    <t>Total Depreciation Expenses</t>
  </si>
  <si>
    <t>Total Expenses</t>
  </si>
  <si>
    <t>Total Capital Expenses</t>
  </si>
  <si>
    <t>Percent Change from 2015</t>
  </si>
  <si>
    <t>Vehicle Purchase – 2016 Van</t>
  </si>
  <si>
    <t>DEPRECIATION SCHEDULE</t>
  </si>
  <si>
    <t>Furniture and Equipment – Straight-line depreciation with 5-year useful life</t>
  </si>
  <si>
    <t>Description</t>
  </si>
  <si>
    <t>Starting Value</t>
  </si>
  <si>
    <t>Annual Depreciation amount</t>
  </si>
  <si>
    <t>2013 Office Furniture</t>
  </si>
  <si>
    <t>2013 Ski Equipment</t>
  </si>
  <si>
    <t>2014 Climbing Equipment</t>
  </si>
  <si>
    <t>2015 Adaptive Ski Equipment</t>
  </si>
  <si>
    <t>Vehicles – Declining balance depreciation expense projection</t>
  </si>
  <si>
    <t>Vehicle</t>
  </si>
  <si>
    <t>Year 1</t>
  </si>
  <si>
    <t>Year 2</t>
  </si>
  <si>
    <t>Year 3</t>
  </si>
  <si>
    <t>Year 4</t>
  </si>
  <si>
    <t>Year 5</t>
  </si>
  <si>
    <t>Salvage Value</t>
  </si>
  <si>
    <t>2014 Van</t>
  </si>
  <si>
    <t>2015 Van</t>
  </si>
  <si>
    <t>2016 Van</t>
  </si>
  <si>
    <t>Vehicle loan payments – 2016 Van</t>
  </si>
  <si>
    <t>Approved Budget 2016</t>
  </si>
  <si>
    <t>Approved Budget 2015</t>
  </si>
  <si>
    <t>50-000</t>
  </si>
  <si>
    <t>50-100</t>
  </si>
  <si>
    <t>50-200</t>
  </si>
  <si>
    <t>50-300</t>
  </si>
  <si>
    <t>Event Entrance Fees</t>
  </si>
  <si>
    <t>Sponsors</t>
  </si>
  <si>
    <t>ANNUAL 5K RUN REVENUE</t>
  </si>
  <si>
    <t>FT Race Program Coordinator salary</t>
  </si>
  <si>
    <t xml:space="preserve">PT Van Driver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</si>
</sst>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0%;[Red]\-0.0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3" fontId="0" fillId="0" borderId="0" xfId="0" applyNumberFormat="1"/>
    <xf numFmtId="0" fontId="1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6" fontId="12" fillId="0" borderId="4" xfId="0" applyNumberFormat="1" applyFont="1" applyBorder="1" applyAlignment="1">
      <alignment horizontal="right" vertical="center" wrapText="1"/>
    </xf>
    <xf numFmtId="6" fontId="1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6" fontId="12" fillId="0" borderId="4" xfId="0" applyNumberFormat="1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Expenses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'2016 Expenditures'!$B$28:$B$49</c:f>
              <c:strCache>
                <c:ptCount val="22"/>
                <c:pt idx="0">
                  <c:v>SERVICES</c:v>
                </c:pt>
                <c:pt idx="1">
                  <c:v>Postage</c:v>
                </c:pt>
                <c:pt idx="2">
                  <c:v>Telephone</c:v>
                </c:pt>
                <c:pt idx="3">
                  <c:v>Printing</c:v>
                </c:pt>
                <c:pt idx="4">
                  <c:v>Public Relations  / Community Events</c:v>
                </c:pt>
                <c:pt idx="5">
                  <c:v>Publications / Advertising</c:v>
                </c:pt>
                <c:pt idx="6">
                  <c:v>Utilities</c:v>
                </c:pt>
                <c:pt idx="7">
                  <c:v>Vehicle Repairs and Maintenance</c:v>
                </c:pt>
                <c:pt idx="8">
                  <c:v>Consultants</c:v>
                </c:pt>
                <c:pt idx="10">
                  <c:v>SUPPLIES</c:v>
                </c:pt>
                <c:pt idx="11">
                  <c:v>Office Supplies</c:v>
                </c:pt>
                <c:pt idx="12">
                  <c:v>Fuel Expense</c:v>
                </c:pt>
                <c:pt idx="13">
                  <c:v>Program Supplies</c:v>
                </c:pt>
                <c:pt idx="15">
                  <c:v>OTHER EXPENSES</c:v>
                </c:pt>
                <c:pt idx="16">
                  <c:v>Warehouse Rent</c:v>
                </c:pt>
                <c:pt idx="17">
                  <c:v>Equipment Rental</c:v>
                </c:pt>
                <c:pt idx="18">
                  <c:v>Liability Insurance</c:v>
                </c:pt>
                <c:pt idx="19">
                  <c:v>Training / Certifications</c:v>
                </c:pt>
                <c:pt idx="20">
                  <c:v>Subscriptions / Memberships</c:v>
                </c:pt>
                <c:pt idx="21">
                  <c:v>Misc Fees and Charges</c:v>
                </c:pt>
              </c:strCache>
            </c:strRef>
          </c:cat>
          <c:val>
            <c:numRef>
              <c:f>'2016 Expenditures'!$C$28:$C$49</c:f>
              <c:numCache>
                <c:formatCode>#,##0</c:formatCode>
                <c:ptCount val="22"/>
                <c:pt idx="1">
                  <c:v>1800</c:v>
                </c:pt>
                <c:pt idx="2">
                  <c:v>12155</c:v>
                </c:pt>
                <c:pt idx="3">
                  <c:v>9000</c:v>
                </c:pt>
                <c:pt idx="4">
                  <c:v>11850</c:v>
                </c:pt>
                <c:pt idx="5">
                  <c:v>5000</c:v>
                </c:pt>
                <c:pt idx="6">
                  <c:v>17815</c:v>
                </c:pt>
                <c:pt idx="7">
                  <c:v>13370</c:v>
                </c:pt>
                <c:pt idx="8">
                  <c:v>16865</c:v>
                </c:pt>
                <c:pt idx="11">
                  <c:v>18500</c:v>
                </c:pt>
                <c:pt idx="12">
                  <c:v>50500</c:v>
                </c:pt>
                <c:pt idx="13">
                  <c:v>11880</c:v>
                </c:pt>
                <c:pt idx="16">
                  <c:v>10000</c:v>
                </c:pt>
                <c:pt idx="17">
                  <c:v>13870</c:v>
                </c:pt>
                <c:pt idx="18">
                  <c:v>10685</c:v>
                </c:pt>
                <c:pt idx="19">
                  <c:v>4180</c:v>
                </c:pt>
                <c:pt idx="20" formatCode="General">
                  <c:v>190</c:v>
                </c:pt>
                <c:pt idx="21">
                  <c:v>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F-417A-91F6-9C9525CA6B23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'2016 Expenditures'!$B$28:$B$49</c:f>
              <c:strCache>
                <c:ptCount val="22"/>
                <c:pt idx="0">
                  <c:v>SERVICES</c:v>
                </c:pt>
                <c:pt idx="1">
                  <c:v>Postage</c:v>
                </c:pt>
                <c:pt idx="2">
                  <c:v>Telephone</c:v>
                </c:pt>
                <c:pt idx="3">
                  <c:v>Printing</c:v>
                </c:pt>
                <c:pt idx="4">
                  <c:v>Public Relations  / Community Events</c:v>
                </c:pt>
                <c:pt idx="5">
                  <c:v>Publications / Advertising</c:v>
                </c:pt>
                <c:pt idx="6">
                  <c:v>Utilities</c:v>
                </c:pt>
                <c:pt idx="7">
                  <c:v>Vehicle Repairs and Maintenance</c:v>
                </c:pt>
                <c:pt idx="8">
                  <c:v>Consultants</c:v>
                </c:pt>
                <c:pt idx="10">
                  <c:v>SUPPLIES</c:v>
                </c:pt>
                <c:pt idx="11">
                  <c:v>Office Supplies</c:v>
                </c:pt>
                <c:pt idx="12">
                  <c:v>Fuel Expense</c:v>
                </c:pt>
                <c:pt idx="13">
                  <c:v>Program Supplies</c:v>
                </c:pt>
                <c:pt idx="15">
                  <c:v>OTHER EXPENSES</c:v>
                </c:pt>
                <c:pt idx="16">
                  <c:v>Warehouse Rent</c:v>
                </c:pt>
                <c:pt idx="17">
                  <c:v>Equipment Rental</c:v>
                </c:pt>
                <c:pt idx="18">
                  <c:v>Liability Insurance</c:v>
                </c:pt>
                <c:pt idx="19">
                  <c:v>Training / Certifications</c:v>
                </c:pt>
                <c:pt idx="20">
                  <c:v>Subscriptions / Memberships</c:v>
                </c:pt>
                <c:pt idx="21">
                  <c:v>Misc Fees and Charges</c:v>
                </c:pt>
              </c:strCache>
            </c:strRef>
          </c:cat>
          <c:val>
            <c:numRef>
              <c:f>'2016 Expenditures'!$D$28:$D$49</c:f>
              <c:numCache>
                <c:formatCode>#,##0</c:formatCode>
                <c:ptCount val="22"/>
                <c:pt idx="1">
                  <c:v>4350</c:v>
                </c:pt>
                <c:pt idx="2">
                  <c:v>12155</c:v>
                </c:pt>
                <c:pt idx="3">
                  <c:v>19530</c:v>
                </c:pt>
                <c:pt idx="4">
                  <c:v>11850</c:v>
                </c:pt>
                <c:pt idx="5">
                  <c:v>5000</c:v>
                </c:pt>
                <c:pt idx="6">
                  <c:v>17815</c:v>
                </c:pt>
                <c:pt idx="7">
                  <c:v>10370</c:v>
                </c:pt>
                <c:pt idx="8">
                  <c:v>16865</c:v>
                </c:pt>
                <c:pt idx="11">
                  <c:v>19155</c:v>
                </c:pt>
                <c:pt idx="12">
                  <c:v>48825</c:v>
                </c:pt>
                <c:pt idx="13">
                  <c:v>9880</c:v>
                </c:pt>
                <c:pt idx="16">
                  <c:v>29820</c:v>
                </c:pt>
                <c:pt idx="17">
                  <c:v>13870</c:v>
                </c:pt>
                <c:pt idx="18">
                  <c:v>9185</c:v>
                </c:pt>
                <c:pt idx="19">
                  <c:v>4180</c:v>
                </c:pt>
                <c:pt idx="20" formatCode="General">
                  <c:v>190</c:v>
                </c:pt>
                <c:pt idx="21">
                  <c:v>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F-417A-91F6-9C9525CA6B23}"/>
            </c:ext>
          </c:extLst>
        </c:ser>
        <c:ser>
          <c:idx val="2"/>
          <c:order val="2"/>
          <c:tx>
            <c:v>Change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'2016 Expenditures'!$B$28:$B$49</c:f>
              <c:strCache>
                <c:ptCount val="22"/>
                <c:pt idx="0">
                  <c:v>SERVICES</c:v>
                </c:pt>
                <c:pt idx="1">
                  <c:v>Postage</c:v>
                </c:pt>
                <c:pt idx="2">
                  <c:v>Telephone</c:v>
                </c:pt>
                <c:pt idx="3">
                  <c:v>Printing</c:v>
                </c:pt>
                <c:pt idx="4">
                  <c:v>Public Relations  / Community Events</c:v>
                </c:pt>
                <c:pt idx="5">
                  <c:v>Publications / Advertising</c:v>
                </c:pt>
                <c:pt idx="6">
                  <c:v>Utilities</c:v>
                </c:pt>
                <c:pt idx="7">
                  <c:v>Vehicle Repairs and Maintenance</c:v>
                </c:pt>
                <c:pt idx="8">
                  <c:v>Consultants</c:v>
                </c:pt>
                <c:pt idx="10">
                  <c:v>SUPPLIES</c:v>
                </c:pt>
                <c:pt idx="11">
                  <c:v>Office Supplies</c:v>
                </c:pt>
                <c:pt idx="12">
                  <c:v>Fuel Expense</c:v>
                </c:pt>
                <c:pt idx="13">
                  <c:v>Program Supplies</c:v>
                </c:pt>
                <c:pt idx="15">
                  <c:v>OTHER EXPENSES</c:v>
                </c:pt>
                <c:pt idx="16">
                  <c:v>Warehouse Rent</c:v>
                </c:pt>
                <c:pt idx="17">
                  <c:v>Equipment Rental</c:v>
                </c:pt>
                <c:pt idx="18">
                  <c:v>Liability Insurance</c:v>
                </c:pt>
                <c:pt idx="19">
                  <c:v>Training / Certifications</c:v>
                </c:pt>
                <c:pt idx="20">
                  <c:v>Subscriptions / Memberships</c:v>
                </c:pt>
                <c:pt idx="21">
                  <c:v>Misc Fees and Charges</c:v>
                </c:pt>
              </c:strCache>
            </c:strRef>
          </c:cat>
          <c:val>
            <c:numRef>
              <c:f>'2016 Expenditures'!$E$28:$E$49</c:f>
              <c:numCache>
                <c:formatCode>0.00%;[Red]\-0.00%</c:formatCode>
                <c:ptCount val="22"/>
                <c:pt idx="1">
                  <c:v>-0.58620689655172409</c:v>
                </c:pt>
                <c:pt idx="2">
                  <c:v>0</c:v>
                </c:pt>
                <c:pt idx="3">
                  <c:v>-0.53917050691244239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0.28929604628736738</c:v>
                </c:pt>
                <c:pt idx="8">
                  <c:v>0</c:v>
                </c:pt>
                <c:pt idx="11">
                  <c:v>-3.4194727225267556E-2</c:v>
                </c:pt>
                <c:pt idx="12">
                  <c:v>3.430619559651818E-2</c:v>
                </c:pt>
                <c:pt idx="13">
                  <c:v>0.20242914979757085</c:v>
                </c:pt>
                <c:pt idx="16">
                  <c:v>-0.66465459423205897</c:v>
                </c:pt>
                <c:pt idx="17">
                  <c:v>0</c:v>
                </c:pt>
                <c:pt idx="18">
                  <c:v>0.16330974414806751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F-417A-91F6-9C9525CA6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9874784"/>
        <c:axId val="529874128"/>
        <c:axId val="0"/>
      </c:bar3DChart>
      <c:catAx>
        <c:axId val="5298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874128"/>
        <c:crosses val="autoZero"/>
        <c:auto val="1"/>
        <c:lblAlgn val="ctr"/>
        <c:lblOffset val="100"/>
        <c:noMultiLvlLbl val="0"/>
      </c:catAx>
      <c:valAx>
        <c:axId val="52987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8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</a:t>
            </a:r>
            <a:r>
              <a:rPr lang="en-US" baseline="0"/>
              <a:t> Expenses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 Expenditures'!$B$59:$B$60</c:f>
              <c:strCache>
                <c:ptCount val="2"/>
                <c:pt idx="0">
                  <c:v>Furniture and Equipment Depreciation Expense</c:v>
                </c:pt>
                <c:pt idx="1">
                  <c:v>Motor Vehicles Depreciation Expense</c:v>
                </c:pt>
              </c:strCache>
            </c:strRef>
          </c:cat>
          <c:val>
            <c:numRef>
              <c:f>'2016 Expenditures'!$C$59:$C$60</c:f>
              <c:numCache>
                <c:formatCode>#,##0</c:formatCode>
                <c:ptCount val="2"/>
                <c:pt idx="0">
                  <c:v>8960</c:v>
                </c:pt>
                <c:pt idx="1">
                  <c:v>33840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6-42E9-AC57-4B5E2BBCD7B6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 Expenditures'!$B$59:$B$60</c:f>
              <c:strCache>
                <c:ptCount val="2"/>
                <c:pt idx="0">
                  <c:v>Furniture and Equipment Depreciation Expense</c:v>
                </c:pt>
                <c:pt idx="1">
                  <c:v>Motor Vehicles Depreciation Expense</c:v>
                </c:pt>
              </c:strCache>
            </c:strRef>
          </c:cat>
          <c:val>
            <c:numRef>
              <c:f>'2016 Expenditures'!$D$59:$D$60</c:f>
              <c:numCache>
                <c:formatCode>#,##0</c:formatCode>
                <c:ptCount val="2"/>
                <c:pt idx="0">
                  <c:v>8960</c:v>
                </c:pt>
                <c:pt idx="1">
                  <c:v>24970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6-42E9-AC57-4B5E2BBCD7B6}"/>
            </c:ext>
          </c:extLst>
        </c:ser>
        <c:ser>
          <c:idx val="2"/>
          <c:order val="2"/>
          <c:tx>
            <c:v>Change</c:v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 Expenditures'!$B$59:$B$60</c:f>
              <c:strCache>
                <c:ptCount val="2"/>
                <c:pt idx="0">
                  <c:v>Furniture and Equipment Depreciation Expense</c:v>
                </c:pt>
                <c:pt idx="1">
                  <c:v>Motor Vehicles Depreciation Expense</c:v>
                </c:pt>
              </c:strCache>
            </c:strRef>
          </c:cat>
          <c:val>
            <c:numRef>
              <c:f>'2016 Expenditures'!$E$59:$E$60</c:f>
              <c:numCache>
                <c:formatCode>0.00%;[Red]\-0.00%</c:formatCode>
                <c:ptCount val="2"/>
                <c:pt idx="0">
                  <c:v>0</c:v>
                </c:pt>
                <c:pt idx="1">
                  <c:v>0.35522627152583097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6-42E9-AC57-4B5E2BBCD7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528259776"/>
        <c:axId val="528262400"/>
        <c:axId val="0"/>
      </c:bar3DChart>
      <c:catAx>
        <c:axId val="5282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62400"/>
        <c:crosses val="autoZero"/>
        <c:auto val="1"/>
        <c:lblAlgn val="ctr"/>
        <c:lblOffset val="100"/>
        <c:noMultiLvlLbl val="0"/>
      </c:catAx>
      <c:valAx>
        <c:axId val="5282624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282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257735</xdr:colOff>
      <xdr:row>31</xdr:row>
      <xdr:rowOff>17930</xdr:rowOff>
    </xdr:from>
    <xdr:to>
      <xdr:col>13</xdr:col>
      <xdr:colOff>593912</xdr:colOff>
      <xdr:row>45</xdr:row>
      <xdr:rowOff>94130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F1FDFA-5BD4-4AFF-8DB7-17B7D9E17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201705</xdr:colOff>
      <xdr:row>50</xdr:row>
      <xdr:rowOff>174812</xdr:rowOff>
    </xdr:from>
    <xdr:to>
      <xdr:col>13</xdr:col>
      <xdr:colOff>537882</xdr:colOff>
      <xdr:row>65</xdr:row>
      <xdr:rowOff>15689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F6F829-A86E-4F40-ADF0-6E0F765668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" sqref="B1:D1"/>
    </sheetView>
  </sheetViews>
  <sheetFormatPr defaultRowHeight="15" x14ac:dyDescent="0.25"/>
  <cols>
    <col min="1" max="1" width="26" bestFit="1" customWidth="1"/>
    <col min="2" max="2" width="17" bestFit="1" customWidth="1"/>
    <col min="3" max="3" width="15.7109375" bestFit="1" customWidth="1"/>
    <col min="4" max="4" width="26.5703125" bestFit="1" customWidth="1"/>
  </cols>
  <sheetData>
    <row r="1" spans="1:4" x14ac:dyDescent="0.25">
      <c r="B1" s="35" t="s">
        <v>101</v>
      </c>
      <c r="C1" s="35" t="s">
        <v>47</v>
      </c>
      <c r="D1" s="35" t="s">
        <v>100</v>
      </c>
    </row>
    <row r="2" spans="1:4" x14ac:dyDescent="0.25">
      <c r="A2" s="34" t="s">
        <v>102</v>
      </c>
      <c r="B2" s="32">
        <f>'2015 Revenues'!C27</f>
        <v>681000</v>
      </c>
      <c r="C2" s="32">
        <f>'2015 Revenues'!D27</f>
        <v>653750</v>
      </c>
      <c r="D2" s="36">
        <f>'2015 Revenues'!E27</f>
        <v>-4.001468428781204E-2</v>
      </c>
    </row>
    <row r="3" spans="1:4" x14ac:dyDescent="0.25">
      <c r="A3" s="34" t="s">
        <v>103</v>
      </c>
      <c r="B3" s="32">
        <f>'2015 Expenditures'!C23</f>
        <v>369375</v>
      </c>
      <c r="C3" s="32">
        <f>'2015 Expenditures'!D23</f>
        <v>363975</v>
      </c>
      <c r="D3" s="36">
        <f>'2015 Expenditures'!E23</f>
        <v>-1.4619289340101522E-2</v>
      </c>
    </row>
    <row r="4" spans="1:4" x14ac:dyDescent="0.25">
      <c r="A4" s="34" t="s">
        <v>104</v>
      </c>
      <c r="B4" s="32">
        <f>'2015 Expenditures'!C54</f>
        <v>272905</v>
      </c>
      <c r="C4" s="32">
        <f>'2015 Expenditures'!D54</f>
        <v>250720</v>
      </c>
      <c r="D4" s="36">
        <f>'2015 Expenditures'!E54</f>
        <v>-8.1292024697238965E-2</v>
      </c>
    </row>
    <row r="5" spans="1:4" x14ac:dyDescent="0.25">
      <c r="A5" s="34" t="s">
        <v>105</v>
      </c>
      <c r="B5" s="32">
        <f>'2015 Expenditures'!C61</f>
        <v>33930</v>
      </c>
      <c r="C5" s="32">
        <f>'2015 Expenditures'!D61</f>
        <v>33930</v>
      </c>
      <c r="D5" s="36">
        <f>'2015 Expenditures'!E61</f>
        <v>0</v>
      </c>
    </row>
    <row r="6" spans="1:4" x14ac:dyDescent="0.25">
      <c r="A6" s="34" t="s">
        <v>106</v>
      </c>
      <c r="B6" s="32">
        <f>'2015 Expenditures'!C64</f>
        <v>676210</v>
      </c>
      <c r="C6" s="32">
        <f>'2015 Expenditures'!D64</f>
        <v>648625</v>
      </c>
      <c r="D6" s="36">
        <f>'2015 Expenditures'!E64</f>
        <v>-4.0793540468197748E-2</v>
      </c>
    </row>
    <row r="7" spans="1:4" x14ac:dyDescent="0.25">
      <c r="A7" s="34" t="s">
        <v>107</v>
      </c>
      <c r="B7" s="32">
        <f>'2015 Capital Budget'!C8</f>
        <v>99200</v>
      </c>
      <c r="C7" s="32">
        <f>'2015 Capital Budget'!D8</f>
        <v>99000</v>
      </c>
      <c r="D7" s="36">
        <f>'2015 Capital Budget'!E8</f>
        <v>-2.0161290322580645E-3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A27" sqref="A27:B27"/>
    </sheetView>
  </sheetViews>
  <sheetFormatPr defaultRowHeight="15" x14ac:dyDescent="0.25"/>
  <cols>
    <col min="1" max="1" width="13.140625" bestFit="1" customWidth="1"/>
    <col min="2" max="2" width="44.28515625" customWidth="1"/>
    <col min="3" max="3" width="18" bestFit="1" customWidth="1"/>
    <col min="4" max="4" width="9" bestFit="1" customWidth="1"/>
    <col min="5" max="5" width="26.5703125" bestFit="1" customWidth="1"/>
  </cols>
  <sheetData>
    <row r="1" spans="1:5" ht="15.75" x14ac:dyDescent="0.25">
      <c r="A1" s="1" t="s">
        <v>0</v>
      </c>
    </row>
    <row r="2" spans="1:5" ht="15.75" x14ac:dyDescent="0.25">
      <c r="A2" s="2"/>
    </row>
    <row r="3" spans="1:5" ht="28.5" x14ac:dyDescent="0.25">
      <c r="A3" s="3" t="s">
        <v>1</v>
      </c>
      <c r="B3" s="3" t="s">
        <v>2</v>
      </c>
      <c r="C3" s="4" t="s">
        <v>3</v>
      </c>
      <c r="D3" s="5" t="s">
        <v>4</v>
      </c>
      <c r="E3" s="35" t="s">
        <v>100</v>
      </c>
    </row>
    <row r="4" spans="1:5" x14ac:dyDescent="0.25">
      <c r="A4" s="3" t="s">
        <v>5</v>
      </c>
      <c r="B4" s="6" t="s">
        <v>6</v>
      </c>
      <c r="C4" s="7"/>
      <c r="D4" s="8"/>
    </row>
    <row r="5" spans="1:5" x14ac:dyDescent="0.25">
      <c r="A5" s="9" t="s">
        <v>7</v>
      </c>
      <c r="B5" s="10" t="s">
        <v>8</v>
      </c>
      <c r="C5" s="11">
        <v>25000</v>
      </c>
      <c r="D5" s="12">
        <v>19000</v>
      </c>
      <c r="E5" s="36">
        <f>(D5-C5)/C5</f>
        <v>-0.24</v>
      </c>
    </row>
    <row r="6" spans="1:5" x14ac:dyDescent="0.25">
      <c r="A6" s="9" t="s">
        <v>9</v>
      </c>
      <c r="B6" s="8" t="s">
        <v>10</v>
      </c>
      <c r="C6" s="11">
        <v>10000</v>
      </c>
      <c r="D6" s="12">
        <v>11500</v>
      </c>
      <c r="E6" s="36">
        <f t="shared" ref="E6:E27" si="0">(D6-C6)/C6</f>
        <v>0.15</v>
      </c>
    </row>
    <row r="7" spans="1:5" x14ac:dyDescent="0.25">
      <c r="A7" s="9" t="s">
        <v>11</v>
      </c>
      <c r="B7" s="8" t="s">
        <v>12</v>
      </c>
      <c r="C7" s="11">
        <v>50000</v>
      </c>
      <c r="D7" s="12">
        <v>48250</v>
      </c>
      <c r="E7" s="36">
        <f t="shared" si="0"/>
        <v>-3.5000000000000003E-2</v>
      </c>
    </row>
    <row r="8" spans="1:5" x14ac:dyDescent="0.25">
      <c r="A8" s="9" t="s">
        <v>13</v>
      </c>
      <c r="B8" s="8" t="s">
        <v>14</v>
      </c>
      <c r="C8" s="11">
        <v>12000</v>
      </c>
      <c r="D8" s="12">
        <v>9500</v>
      </c>
      <c r="E8" s="36">
        <f t="shared" si="0"/>
        <v>-0.20833333333333334</v>
      </c>
    </row>
    <row r="9" spans="1:5" x14ac:dyDescent="0.25">
      <c r="A9" s="3" t="s">
        <v>15</v>
      </c>
      <c r="B9" s="6" t="s">
        <v>16</v>
      </c>
      <c r="C9" s="7"/>
      <c r="D9" s="8"/>
      <c r="E9" s="36"/>
    </row>
    <row r="10" spans="1:5" x14ac:dyDescent="0.25">
      <c r="A10" s="9" t="s">
        <v>17</v>
      </c>
      <c r="B10" s="10" t="s">
        <v>18</v>
      </c>
      <c r="C10" s="11">
        <v>103800</v>
      </c>
      <c r="D10" s="12">
        <v>103800</v>
      </c>
      <c r="E10" s="36">
        <f t="shared" si="0"/>
        <v>0</v>
      </c>
    </row>
    <row r="11" spans="1:5" x14ac:dyDescent="0.25">
      <c r="A11" s="9" t="s">
        <v>19</v>
      </c>
      <c r="B11" s="10" t="s">
        <v>20</v>
      </c>
      <c r="C11" s="11">
        <v>28600</v>
      </c>
      <c r="D11" s="12">
        <v>28600</v>
      </c>
      <c r="E11" s="36">
        <f t="shared" si="0"/>
        <v>0</v>
      </c>
    </row>
    <row r="12" spans="1:5" x14ac:dyDescent="0.25">
      <c r="A12" s="9" t="s">
        <v>21</v>
      </c>
      <c r="B12" s="10" t="s">
        <v>22</v>
      </c>
      <c r="C12" s="11">
        <v>70800</v>
      </c>
      <c r="D12" s="12">
        <v>70800</v>
      </c>
      <c r="E12" s="36">
        <f t="shared" si="0"/>
        <v>0</v>
      </c>
    </row>
    <row r="13" spans="1:5" x14ac:dyDescent="0.25">
      <c r="A13" s="9" t="s">
        <v>23</v>
      </c>
      <c r="B13" s="10" t="s">
        <v>24</v>
      </c>
      <c r="C13" s="11">
        <v>27750</v>
      </c>
      <c r="D13" s="12">
        <v>27750</v>
      </c>
      <c r="E13" s="36">
        <f t="shared" si="0"/>
        <v>0</v>
      </c>
    </row>
    <row r="14" spans="1:5" x14ac:dyDescent="0.25">
      <c r="A14" s="9" t="s">
        <v>25</v>
      </c>
      <c r="B14" s="8" t="s">
        <v>26</v>
      </c>
      <c r="C14" s="11">
        <v>49500</v>
      </c>
      <c r="D14" s="12">
        <v>49500</v>
      </c>
      <c r="E14" s="36">
        <f t="shared" si="0"/>
        <v>0</v>
      </c>
    </row>
    <row r="15" spans="1:5" x14ac:dyDescent="0.25">
      <c r="A15" s="9" t="s">
        <v>27</v>
      </c>
      <c r="B15" s="10" t="s">
        <v>28</v>
      </c>
      <c r="C15" s="11">
        <v>41550</v>
      </c>
      <c r="D15" s="12">
        <v>41550</v>
      </c>
      <c r="E15" s="36">
        <f t="shared" si="0"/>
        <v>0</v>
      </c>
    </row>
    <row r="16" spans="1:5" x14ac:dyDescent="0.25">
      <c r="A16" s="7"/>
      <c r="B16" s="7"/>
      <c r="C16" s="7"/>
      <c r="D16" s="8"/>
      <c r="E16" s="36"/>
    </row>
    <row r="17" spans="1:5" x14ac:dyDescent="0.25">
      <c r="A17" s="3" t="s">
        <v>29</v>
      </c>
      <c r="B17" s="48" t="s">
        <v>30</v>
      </c>
      <c r="C17" s="48"/>
      <c r="D17" s="13"/>
      <c r="E17" s="36"/>
    </row>
    <row r="18" spans="1:5" x14ac:dyDescent="0.25">
      <c r="A18" s="9" t="s">
        <v>31</v>
      </c>
      <c r="B18" s="10" t="s">
        <v>32</v>
      </c>
      <c r="C18" s="11">
        <v>28000</v>
      </c>
      <c r="D18" s="12">
        <v>23000</v>
      </c>
      <c r="E18" s="36">
        <f t="shared" si="0"/>
        <v>-0.17857142857142858</v>
      </c>
    </row>
    <row r="19" spans="1:5" x14ac:dyDescent="0.25">
      <c r="A19" s="9" t="s">
        <v>33</v>
      </c>
      <c r="B19" s="10" t="s">
        <v>34</v>
      </c>
      <c r="C19" s="11">
        <v>92000</v>
      </c>
      <c r="D19" s="12">
        <v>89000</v>
      </c>
      <c r="E19" s="36">
        <f t="shared" si="0"/>
        <v>-3.2608695652173912E-2</v>
      </c>
    </row>
    <row r="20" spans="1:5" x14ac:dyDescent="0.25">
      <c r="A20" s="9" t="s">
        <v>35</v>
      </c>
      <c r="B20" s="10" t="s">
        <v>36</v>
      </c>
      <c r="C20" s="11">
        <v>55000</v>
      </c>
      <c r="D20" s="12">
        <v>57000</v>
      </c>
      <c r="E20" s="36">
        <f t="shared" si="0"/>
        <v>3.6363636363636362E-2</v>
      </c>
    </row>
    <row r="21" spans="1:5" x14ac:dyDescent="0.25">
      <c r="A21" s="7"/>
      <c r="B21" s="7"/>
      <c r="C21" s="7"/>
      <c r="D21" s="8"/>
      <c r="E21" s="36"/>
    </row>
    <row r="22" spans="1:5" x14ac:dyDescent="0.25">
      <c r="A22" s="3" t="s">
        <v>37</v>
      </c>
      <c r="B22" s="6" t="s">
        <v>38</v>
      </c>
      <c r="C22" s="7"/>
      <c r="D22" s="8"/>
      <c r="E22" s="36"/>
    </row>
    <row r="23" spans="1:5" x14ac:dyDescent="0.25">
      <c r="A23" s="9" t="s">
        <v>39</v>
      </c>
      <c r="B23" s="10" t="s">
        <v>32</v>
      </c>
      <c r="C23" s="11">
        <v>22000</v>
      </c>
      <c r="D23" s="12">
        <v>18000</v>
      </c>
      <c r="E23" s="36">
        <f t="shared" si="0"/>
        <v>-0.18181818181818182</v>
      </c>
    </row>
    <row r="24" spans="1:5" x14ac:dyDescent="0.25">
      <c r="A24" s="9" t="s">
        <v>40</v>
      </c>
      <c r="B24" s="10" t="s">
        <v>41</v>
      </c>
      <c r="C24" s="11">
        <v>25000</v>
      </c>
      <c r="D24" s="12">
        <v>24500</v>
      </c>
      <c r="E24" s="36">
        <f t="shared" si="0"/>
        <v>-0.02</v>
      </c>
    </row>
    <row r="25" spans="1:5" x14ac:dyDescent="0.25">
      <c r="A25" s="9" t="s">
        <v>42</v>
      </c>
      <c r="B25" s="10" t="s">
        <v>36</v>
      </c>
      <c r="C25" s="11">
        <v>40000</v>
      </c>
      <c r="D25" s="12">
        <v>32000</v>
      </c>
      <c r="E25" s="36">
        <f t="shared" si="0"/>
        <v>-0.2</v>
      </c>
    </row>
    <row r="26" spans="1:5" x14ac:dyDescent="0.25">
      <c r="A26" s="49"/>
      <c r="B26" s="49"/>
      <c r="C26" s="9"/>
      <c r="D26" s="14"/>
      <c r="E26" s="36"/>
    </row>
    <row r="27" spans="1:5" ht="15.75" x14ac:dyDescent="0.25">
      <c r="A27" s="50" t="s">
        <v>43</v>
      </c>
      <c r="B27" s="50"/>
      <c r="C27" s="26">
        <f>C5+C6+C7+C8+C10+C11+C12+C13+C14+C15+C18+C19+C20+C23+C24+C25</f>
        <v>681000</v>
      </c>
      <c r="D27" s="27">
        <f>SUM(D5:D25)</f>
        <v>653750</v>
      </c>
      <c r="E27" s="36">
        <f t="shared" si="0"/>
        <v>-4.001468428781204E-2</v>
      </c>
    </row>
  </sheetData>
  <mergeCells count="3">
    <mergeCell ref="B17:C17"/>
    <mergeCell ref="A26:B26"/>
    <mergeCell ref="A27:B27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0" zoomScale="85" zoomScaleNormal="85" workbookViewId="0">
      <selection activeCell="C66" sqref="C66"/>
    </sheetView>
  </sheetViews>
  <sheetFormatPr defaultRowHeight="15" x14ac:dyDescent="0.25"/>
  <cols>
    <col min="1" max="1" width="13.140625" bestFit="1" customWidth="1"/>
    <col min="2" max="2" width="41.7109375" bestFit="1" customWidth="1"/>
    <col min="3" max="3" width="18" bestFit="1" customWidth="1"/>
    <col min="4" max="4" width="16.7109375" bestFit="1" customWidth="1"/>
    <col min="5" max="5" width="26.85546875" bestFit="1" customWidth="1"/>
  </cols>
  <sheetData>
    <row r="1" spans="1:5" ht="15.75" x14ac:dyDescent="0.25">
      <c r="A1" s="1" t="s">
        <v>44</v>
      </c>
    </row>
    <row r="2" spans="1:5" ht="15.75" x14ac:dyDescent="0.25">
      <c r="A2" s="2"/>
    </row>
    <row r="3" spans="1:5" x14ac:dyDescent="0.25">
      <c r="A3" s="3" t="s">
        <v>45</v>
      </c>
      <c r="B3" s="49" t="s">
        <v>2</v>
      </c>
      <c r="C3" s="51" t="s">
        <v>3</v>
      </c>
      <c r="D3" s="52" t="s">
        <v>47</v>
      </c>
    </row>
    <row r="4" spans="1:5" x14ac:dyDescent="0.25">
      <c r="A4" s="3" t="s">
        <v>46</v>
      </c>
      <c r="B4" s="49"/>
      <c r="C4" s="51"/>
      <c r="D4" s="52"/>
      <c r="E4" s="35" t="s">
        <v>100</v>
      </c>
    </row>
    <row r="5" spans="1:5" ht="15.75" x14ac:dyDescent="0.25">
      <c r="A5" s="53"/>
      <c r="B5" s="53"/>
      <c r="C5" s="19"/>
      <c r="D5" s="20"/>
    </row>
    <row r="6" spans="1:5" ht="15.75" x14ac:dyDescent="0.25">
      <c r="A6" s="53" t="s">
        <v>48</v>
      </c>
      <c r="B6" s="53"/>
      <c r="C6" s="19"/>
      <c r="D6" s="20"/>
    </row>
    <row r="7" spans="1:5" x14ac:dyDescent="0.25">
      <c r="A7" s="3"/>
      <c r="B7" s="21"/>
      <c r="C7" s="3"/>
      <c r="D7" s="13"/>
    </row>
    <row r="8" spans="1:5" x14ac:dyDescent="0.25">
      <c r="A8" s="3">
        <v>1000</v>
      </c>
      <c r="B8" s="6" t="s">
        <v>49</v>
      </c>
      <c r="C8" s="7"/>
      <c r="D8" s="13"/>
    </row>
    <row r="9" spans="1:5" x14ac:dyDescent="0.25">
      <c r="A9" s="9">
        <v>1110</v>
      </c>
      <c r="B9" s="10" t="s">
        <v>50</v>
      </c>
      <c r="C9" s="11">
        <v>53250</v>
      </c>
      <c r="D9" s="12">
        <v>53250</v>
      </c>
      <c r="E9" s="36">
        <f>(D9-C9)/C9</f>
        <v>0</v>
      </c>
    </row>
    <row r="10" spans="1:5" x14ac:dyDescent="0.25">
      <c r="A10" s="9">
        <v>1120</v>
      </c>
      <c r="B10" s="10" t="s">
        <v>51</v>
      </c>
      <c r="C10" s="11">
        <v>38000</v>
      </c>
      <c r="D10" s="12">
        <v>38000</v>
      </c>
      <c r="E10" s="36">
        <f t="shared" ref="E10:E66" si="0">(D10-C10)/C10</f>
        <v>0</v>
      </c>
    </row>
    <row r="11" spans="1:5" x14ac:dyDescent="0.25">
      <c r="A11" s="9">
        <v>1130</v>
      </c>
      <c r="B11" s="10" t="s">
        <v>52</v>
      </c>
      <c r="C11" s="11">
        <v>38000</v>
      </c>
      <c r="D11" s="12">
        <v>38000</v>
      </c>
      <c r="E11" s="36">
        <f t="shared" si="0"/>
        <v>0</v>
      </c>
    </row>
    <row r="12" spans="1:5" x14ac:dyDescent="0.25">
      <c r="A12" s="9">
        <v>1150</v>
      </c>
      <c r="B12" s="10" t="s">
        <v>53</v>
      </c>
      <c r="C12" s="11">
        <v>40000</v>
      </c>
      <c r="D12" s="12">
        <v>40000</v>
      </c>
      <c r="E12" s="36">
        <f t="shared" si="0"/>
        <v>0</v>
      </c>
    </row>
    <row r="13" spans="1:5" x14ac:dyDescent="0.25">
      <c r="A13" s="9">
        <v>1160</v>
      </c>
      <c r="B13" s="10" t="s">
        <v>54</v>
      </c>
      <c r="C13" s="11">
        <v>35000</v>
      </c>
      <c r="D13" s="12">
        <v>35000</v>
      </c>
      <c r="E13" s="36">
        <f t="shared" si="0"/>
        <v>0</v>
      </c>
    </row>
    <row r="14" spans="1:5" x14ac:dyDescent="0.25">
      <c r="A14" s="9">
        <v>1170</v>
      </c>
      <c r="B14" s="10" t="s">
        <v>55</v>
      </c>
      <c r="C14" s="11">
        <v>20000</v>
      </c>
      <c r="D14" s="12">
        <v>20000</v>
      </c>
      <c r="E14" s="36">
        <f t="shared" si="0"/>
        <v>0</v>
      </c>
    </row>
    <row r="15" spans="1:5" x14ac:dyDescent="0.25">
      <c r="A15" s="9">
        <v>1180</v>
      </c>
      <c r="B15" s="10" t="s">
        <v>56</v>
      </c>
      <c r="C15" s="11">
        <v>17500</v>
      </c>
      <c r="D15" s="12">
        <v>15200</v>
      </c>
      <c r="E15" s="36">
        <f t="shared" si="0"/>
        <v>-0.13142857142857142</v>
      </c>
    </row>
    <row r="16" spans="1:5" x14ac:dyDescent="0.25">
      <c r="A16" s="9">
        <v>1200</v>
      </c>
      <c r="B16" s="10" t="s">
        <v>57</v>
      </c>
      <c r="C16" s="11">
        <v>10000</v>
      </c>
      <c r="D16" s="12">
        <v>8000</v>
      </c>
      <c r="E16" s="36">
        <f t="shared" si="0"/>
        <v>-0.2</v>
      </c>
    </row>
    <row r="17" spans="1:5" x14ac:dyDescent="0.25">
      <c r="A17" s="9">
        <v>1300</v>
      </c>
      <c r="B17" s="10" t="s">
        <v>58</v>
      </c>
      <c r="C17" s="11">
        <v>2500</v>
      </c>
      <c r="D17" s="12">
        <v>2500</v>
      </c>
      <c r="E17" s="36">
        <f t="shared" si="0"/>
        <v>0</v>
      </c>
    </row>
    <row r="18" spans="1:5" x14ac:dyDescent="0.25">
      <c r="A18" s="9">
        <v>1400</v>
      </c>
      <c r="B18" s="10" t="s">
        <v>59</v>
      </c>
      <c r="C18" s="11">
        <v>2500</v>
      </c>
      <c r="D18" s="12">
        <v>2300</v>
      </c>
      <c r="E18" s="36">
        <f t="shared" si="0"/>
        <v>-0.08</v>
      </c>
    </row>
    <row r="19" spans="1:5" x14ac:dyDescent="0.25">
      <c r="A19" s="7"/>
      <c r="B19" s="7"/>
      <c r="C19" s="7"/>
      <c r="D19" s="22"/>
      <c r="E19" s="36"/>
    </row>
    <row r="20" spans="1:5" x14ac:dyDescent="0.25">
      <c r="A20" s="9">
        <v>1800</v>
      </c>
      <c r="B20" s="10" t="s">
        <v>60</v>
      </c>
      <c r="C20" s="9">
        <f>((C9+C10+C11+C12+C13)*0.5)</f>
        <v>102125</v>
      </c>
      <c r="D20" s="14">
        <f>((D9+D10+D11+D12+D13)*0.5)</f>
        <v>102125</v>
      </c>
      <c r="E20" s="36">
        <f t="shared" si="0"/>
        <v>0</v>
      </c>
    </row>
    <row r="21" spans="1:5" x14ac:dyDescent="0.25">
      <c r="A21" s="9">
        <v>1820</v>
      </c>
      <c r="B21" s="10" t="s">
        <v>61</v>
      </c>
      <c r="C21" s="9">
        <f>((C14+C15+C16+C17+C18)*0.2)</f>
        <v>10500</v>
      </c>
      <c r="D21" s="14">
        <f>((D14+D15+D16+D17+D18)*0.2)</f>
        <v>9600</v>
      </c>
      <c r="E21" s="36">
        <f t="shared" si="0"/>
        <v>-8.5714285714285715E-2</v>
      </c>
    </row>
    <row r="22" spans="1:5" x14ac:dyDescent="0.25">
      <c r="A22" s="7"/>
      <c r="B22" s="7"/>
      <c r="C22" s="7"/>
      <c r="D22" s="22"/>
      <c r="E22" s="36"/>
    </row>
    <row r="23" spans="1:5" ht="28.5" x14ac:dyDescent="0.25">
      <c r="A23" s="23"/>
      <c r="B23" s="1" t="s">
        <v>62</v>
      </c>
      <c r="C23" s="29">
        <f>C9+C10+C11+C12+C13+C14+C15+C16+C17+C18+C20+C21</f>
        <v>369375</v>
      </c>
      <c r="D23" s="30">
        <f>D9+D10+D11+D12+D13+D14+D15+D16+D17+D18+D20+D21</f>
        <v>363975</v>
      </c>
      <c r="E23" s="36">
        <f t="shared" si="0"/>
        <v>-1.4619289340101522E-2</v>
      </c>
    </row>
    <row r="24" spans="1:5" x14ac:dyDescent="0.25">
      <c r="A24" s="23"/>
      <c r="B24" s="23"/>
      <c r="C24" s="23"/>
      <c r="D24" s="22"/>
      <c r="E24" s="36"/>
    </row>
    <row r="25" spans="1:5" ht="15.75" x14ac:dyDescent="0.25">
      <c r="A25" s="50" t="s">
        <v>63</v>
      </c>
      <c r="B25" s="50"/>
      <c r="C25" s="23"/>
      <c r="D25" s="22"/>
      <c r="E25" s="36"/>
    </row>
    <row r="26" spans="1:5" x14ac:dyDescent="0.25">
      <c r="A26" s="23"/>
      <c r="B26" s="23"/>
      <c r="C26" s="23"/>
      <c r="D26" s="22"/>
      <c r="E26" s="36"/>
    </row>
    <row r="27" spans="1:5" x14ac:dyDescent="0.25">
      <c r="A27" s="3">
        <v>2000</v>
      </c>
      <c r="B27" s="6" t="s">
        <v>64</v>
      </c>
      <c r="C27" s="7"/>
      <c r="D27" s="8"/>
      <c r="E27" s="36"/>
    </row>
    <row r="28" spans="1:5" x14ac:dyDescent="0.25">
      <c r="A28" s="9">
        <v>2110</v>
      </c>
      <c r="B28" s="10" t="s">
        <v>65</v>
      </c>
      <c r="C28" s="11">
        <v>4350</v>
      </c>
      <c r="D28" s="12">
        <v>2250</v>
      </c>
      <c r="E28" s="36">
        <f t="shared" si="0"/>
        <v>-0.48275862068965519</v>
      </c>
    </row>
    <row r="29" spans="1:5" x14ac:dyDescent="0.25">
      <c r="A29" s="9">
        <v>2120</v>
      </c>
      <c r="B29" s="10" t="s">
        <v>66</v>
      </c>
      <c r="C29" s="11">
        <v>12155</v>
      </c>
      <c r="D29" s="12">
        <v>12320</v>
      </c>
      <c r="E29" s="36">
        <f t="shared" si="0"/>
        <v>1.3574660633484163E-2</v>
      </c>
    </row>
    <row r="30" spans="1:5" x14ac:dyDescent="0.25">
      <c r="A30" s="9">
        <v>2310</v>
      </c>
      <c r="B30" s="10" t="s">
        <v>67</v>
      </c>
      <c r="C30" s="11">
        <v>19530</v>
      </c>
      <c r="D30" s="12">
        <v>14800</v>
      </c>
      <c r="E30" s="36">
        <f t="shared" si="0"/>
        <v>-0.24219150025601638</v>
      </c>
    </row>
    <row r="31" spans="1:5" x14ac:dyDescent="0.25">
      <c r="A31" s="9">
        <v>2340</v>
      </c>
      <c r="B31" s="8" t="s">
        <v>68</v>
      </c>
      <c r="C31" s="11">
        <v>11850</v>
      </c>
      <c r="D31" s="12">
        <v>11600</v>
      </c>
      <c r="E31" s="36">
        <f t="shared" si="0"/>
        <v>-2.1097046413502109E-2</v>
      </c>
    </row>
    <row r="32" spans="1:5" x14ac:dyDescent="0.25">
      <c r="A32" s="9">
        <v>2380</v>
      </c>
      <c r="B32" s="10" t="s">
        <v>69</v>
      </c>
      <c r="C32" s="11">
        <v>5000</v>
      </c>
      <c r="D32" s="12">
        <v>4970</v>
      </c>
      <c r="E32" s="36">
        <f t="shared" si="0"/>
        <v>-6.0000000000000001E-3</v>
      </c>
    </row>
    <row r="33" spans="1:5" x14ac:dyDescent="0.25">
      <c r="A33" s="9">
        <v>2400</v>
      </c>
      <c r="B33" s="10" t="s">
        <v>70</v>
      </c>
      <c r="C33" s="11">
        <v>17815</v>
      </c>
      <c r="D33" s="12">
        <v>17810</v>
      </c>
      <c r="E33" s="36">
        <f t="shared" si="0"/>
        <v>-2.8066236317709798E-4</v>
      </c>
    </row>
    <row r="34" spans="1:5" x14ac:dyDescent="0.25">
      <c r="A34" s="9">
        <v>2500</v>
      </c>
      <c r="B34" s="10" t="s">
        <v>71</v>
      </c>
      <c r="C34" s="11">
        <v>10370</v>
      </c>
      <c r="D34" s="12">
        <v>6750</v>
      </c>
      <c r="E34" s="36">
        <f t="shared" si="0"/>
        <v>-0.34908389585342331</v>
      </c>
    </row>
    <row r="35" spans="1:5" x14ac:dyDescent="0.25">
      <c r="A35" s="9">
        <v>2600</v>
      </c>
      <c r="B35" s="10" t="s">
        <v>72</v>
      </c>
      <c r="C35" s="11">
        <v>16865</v>
      </c>
      <c r="D35" s="12">
        <v>13400</v>
      </c>
      <c r="E35" s="36">
        <f t="shared" si="0"/>
        <v>-0.20545508449451527</v>
      </c>
    </row>
    <row r="36" spans="1:5" x14ac:dyDescent="0.25">
      <c r="A36" s="7"/>
      <c r="B36" s="7"/>
      <c r="C36" s="7"/>
      <c r="D36" s="22"/>
      <c r="E36" s="36"/>
    </row>
    <row r="37" spans="1:5" x14ac:dyDescent="0.25">
      <c r="A37" s="3">
        <v>3000</v>
      </c>
      <c r="B37" s="6" t="s">
        <v>73</v>
      </c>
      <c r="C37" s="7"/>
      <c r="D37" s="8"/>
      <c r="E37" s="36"/>
    </row>
    <row r="38" spans="1:5" x14ac:dyDescent="0.25">
      <c r="A38" s="9">
        <v>3110</v>
      </c>
      <c r="B38" s="10" t="s">
        <v>74</v>
      </c>
      <c r="C38" s="11">
        <v>19155</v>
      </c>
      <c r="D38" s="12">
        <v>17350</v>
      </c>
      <c r="E38" s="36">
        <f t="shared" si="0"/>
        <v>-9.4231271208561729E-2</v>
      </c>
    </row>
    <row r="39" spans="1:5" x14ac:dyDescent="0.25">
      <c r="A39" s="9">
        <v>3130</v>
      </c>
      <c r="B39" s="10" t="s">
        <v>75</v>
      </c>
      <c r="C39" s="11">
        <v>48825</v>
      </c>
      <c r="D39" s="12">
        <v>49125</v>
      </c>
      <c r="E39" s="36">
        <f t="shared" si="0"/>
        <v>6.1443932411674347E-3</v>
      </c>
    </row>
    <row r="40" spans="1:5" x14ac:dyDescent="0.25">
      <c r="A40" s="9">
        <v>3180</v>
      </c>
      <c r="B40" s="10" t="s">
        <v>76</v>
      </c>
      <c r="C40" s="11">
        <v>9880</v>
      </c>
      <c r="D40" s="12">
        <v>8275</v>
      </c>
      <c r="E40" s="36">
        <f t="shared" si="0"/>
        <v>-0.1624493927125506</v>
      </c>
    </row>
    <row r="41" spans="1:5" x14ac:dyDescent="0.25">
      <c r="A41" s="7"/>
      <c r="B41" s="7"/>
      <c r="C41" s="7"/>
      <c r="D41" s="22"/>
      <c r="E41" s="36"/>
    </row>
    <row r="42" spans="1:5" x14ac:dyDescent="0.25">
      <c r="A42" s="3">
        <v>4000</v>
      </c>
      <c r="B42" s="6" t="s">
        <v>77</v>
      </c>
      <c r="C42" s="7"/>
      <c r="D42" s="8"/>
      <c r="E42" s="36"/>
    </row>
    <row r="43" spans="1:5" x14ac:dyDescent="0.25">
      <c r="A43" s="9">
        <v>4110</v>
      </c>
      <c r="B43" s="10" t="s">
        <v>78</v>
      </c>
      <c r="C43" s="11">
        <v>29820</v>
      </c>
      <c r="D43" s="12">
        <v>29820</v>
      </c>
      <c r="E43" s="36">
        <f t="shared" si="0"/>
        <v>0</v>
      </c>
    </row>
    <row r="44" spans="1:5" x14ac:dyDescent="0.25">
      <c r="A44" s="9">
        <v>4120</v>
      </c>
      <c r="B44" s="10" t="s">
        <v>79</v>
      </c>
      <c r="C44" s="11">
        <v>13870</v>
      </c>
      <c r="D44" s="12">
        <v>13000</v>
      </c>
      <c r="E44" s="36">
        <f t="shared" si="0"/>
        <v>-6.2725306416726745E-2</v>
      </c>
    </row>
    <row r="45" spans="1:5" x14ac:dyDescent="0.25">
      <c r="A45" s="9">
        <v>4250</v>
      </c>
      <c r="B45" s="10" t="s">
        <v>80</v>
      </c>
      <c r="C45" s="11">
        <v>9185</v>
      </c>
      <c r="D45" s="12">
        <v>9185</v>
      </c>
      <c r="E45" s="36">
        <f t="shared" si="0"/>
        <v>0</v>
      </c>
    </row>
    <row r="46" spans="1:5" x14ac:dyDescent="0.25">
      <c r="A46" s="9">
        <v>4300</v>
      </c>
      <c r="B46" s="10" t="s">
        <v>81</v>
      </c>
      <c r="C46" s="11">
        <v>4180</v>
      </c>
      <c r="D46" s="12">
        <v>2500</v>
      </c>
      <c r="E46" s="36">
        <f t="shared" si="0"/>
        <v>-0.40191387559808611</v>
      </c>
    </row>
    <row r="47" spans="1:5" x14ac:dyDescent="0.25">
      <c r="A47" s="9">
        <v>4400</v>
      </c>
      <c r="B47" s="10" t="s">
        <v>82</v>
      </c>
      <c r="C47" s="9">
        <v>190</v>
      </c>
      <c r="D47" s="14">
        <v>175</v>
      </c>
      <c r="E47" s="36">
        <f t="shared" si="0"/>
        <v>-7.8947368421052627E-2</v>
      </c>
    </row>
    <row r="48" spans="1:5" x14ac:dyDescent="0.25">
      <c r="A48" s="9">
        <v>4500</v>
      </c>
      <c r="B48" s="10" t="s">
        <v>83</v>
      </c>
      <c r="C48" s="11">
        <v>9275</v>
      </c>
      <c r="D48" s="12">
        <v>6800</v>
      </c>
      <c r="E48" s="36">
        <f t="shared" si="0"/>
        <v>-0.26684636118598382</v>
      </c>
    </row>
    <row r="49" spans="1:5" x14ac:dyDescent="0.25">
      <c r="A49" s="3"/>
      <c r="B49" s="3"/>
      <c r="C49" s="23"/>
      <c r="D49" s="22"/>
      <c r="E49" s="36"/>
    </row>
    <row r="50" spans="1:5" x14ac:dyDescent="0.25">
      <c r="A50" s="3">
        <v>6000</v>
      </c>
      <c r="B50" s="6" t="s">
        <v>84</v>
      </c>
      <c r="C50" s="7"/>
      <c r="D50" s="22"/>
      <c r="E50" s="36"/>
    </row>
    <row r="51" spans="1:5" x14ac:dyDescent="0.25">
      <c r="A51" s="9">
        <v>6310</v>
      </c>
      <c r="B51" s="10" t="s">
        <v>85</v>
      </c>
      <c r="C51" s="11">
        <v>14050</v>
      </c>
      <c r="D51" s="12">
        <v>14050</v>
      </c>
      <c r="E51" s="36">
        <f t="shared" si="0"/>
        <v>0</v>
      </c>
    </row>
    <row r="52" spans="1:5" x14ac:dyDescent="0.25">
      <c r="A52" s="9">
        <v>6320</v>
      </c>
      <c r="B52" s="10" t="s">
        <v>86</v>
      </c>
      <c r="C52" s="11">
        <v>16540</v>
      </c>
      <c r="D52" s="12">
        <v>16540</v>
      </c>
      <c r="E52" s="36">
        <f t="shared" si="0"/>
        <v>0</v>
      </c>
    </row>
    <row r="53" spans="1:5" x14ac:dyDescent="0.25">
      <c r="A53" s="9"/>
      <c r="B53" s="3"/>
      <c r="C53" s="9"/>
      <c r="D53" s="14"/>
      <c r="E53" s="36"/>
    </row>
    <row r="54" spans="1:5" ht="15.75" x14ac:dyDescent="0.25">
      <c r="A54" s="54" t="s">
        <v>87</v>
      </c>
      <c r="B54" s="54"/>
      <c r="C54" s="28">
        <f>SUM(C28:C52)</f>
        <v>272905</v>
      </c>
      <c r="D54" s="24">
        <f>SUM(D28:D52)</f>
        <v>250720</v>
      </c>
      <c r="E54" s="36">
        <f t="shared" si="0"/>
        <v>-8.1292024697238965E-2</v>
      </c>
    </row>
    <row r="55" spans="1:5" x14ac:dyDescent="0.25">
      <c r="A55" s="3"/>
      <c r="B55" s="3"/>
      <c r="C55" s="9"/>
      <c r="D55" s="14"/>
      <c r="E55" s="36"/>
    </row>
    <row r="56" spans="1:5" ht="15.75" x14ac:dyDescent="0.25">
      <c r="A56" s="50" t="s">
        <v>88</v>
      </c>
      <c r="B56" s="50"/>
      <c r="C56" s="9"/>
      <c r="D56" s="14"/>
      <c r="E56" s="36"/>
    </row>
    <row r="57" spans="1:5" x14ac:dyDescent="0.25">
      <c r="A57" s="3">
        <v>8000</v>
      </c>
      <c r="B57" s="3"/>
      <c r="C57" s="9"/>
      <c r="D57" s="14"/>
      <c r="E57" s="36"/>
    </row>
    <row r="58" spans="1:5" x14ac:dyDescent="0.25">
      <c r="A58" s="9">
        <v>8120</v>
      </c>
      <c r="B58" s="10" t="s">
        <v>89</v>
      </c>
      <c r="C58" s="11">
        <v>8960</v>
      </c>
      <c r="D58" s="12">
        <v>8960</v>
      </c>
      <c r="E58" s="36">
        <f t="shared" si="0"/>
        <v>0</v>
      </c>
    </row>
    <row r="59" spans="1:5" x14ac:dyDescent="0.25">
      <c r="A59" s="9">
        <v>8160</v>
      </c>
      <c r="B59" s="10" t="s">
        <v>90</v>
      </c>
      <c r="C59" s="11">
        <v>24970</v>
      </c>
      <c r="D59" s="12">
        <v>24970</v>
      </c>
      <c r="E59" s="36">
        <f t="shared" si="0"/>
        <v>0</v>
      </c>
    </row>
    <row r="60" spans="1:5" x14ac:dyDescent="0.25">
      <c r="A60" s="9"/>
      <c r="B60" s="10"/>
      <c r="C60" s="9"/>
      <c r="D60" s="14"/>
      <c r="E60" s="36"/>
    </row>
    <row r="61" spans="1:5" ht="15.75" x14ac:dyDescent="0.25">
      <c r="A61" s="54" t="s">
        <v>91</v>
      </c>
      <c r="B61" s="54"/>
      <c r="C61" s="28">
        <f>C58+C59</f>
        <v>33930</v>
      </c>
      <c r="D61" s="24">
        <f>D58+D59</f>
        <v>33930</v>
      </c>
      <c r="E61" s="36">
        <f t="shared" si="0"/>
        <v>0</v>
      </c>
    </row>
    <row r="62" spans="1:5" x14ac:dyDescent="0.25">
      <c r="A62" s="9"/>
      <c r="B62" s="3"/>
      <c r="C62" s="9"/>
      <c r="D62" s="14"/>
      <c r="E62" s="36"/>
    </row>
    <row r="63" spans="1:5" x14ac:dyDescent="0.25">
      <c r="A63" s="9"/>
      <c r="B63" s="3"/>
      <c r="C63" s="9"/>
      <c r="D63" s="14"/>
      <c r="E63" s="36"/>
    </row>
    <row r="64" spans="1:5" ht="15.75" x14ac:dyDescent="0.25">
      <c r="A64" s="50" t="s">
        <v>92</v>
      </c>
      <c r="B64" s="50"/>
      <c r="C64" s="26">
        <f>C23+C54+C61</f>
        <v>676210</v>
      </c>
      <c r="D64" s="27">
        <f>D23+D54+D61</f>
        <v>648625</v>
      </c>
      <c r="E64" s="36">
        <f t="shared" si="0"/>
        <v>-4.0793540468197748E-2</v>
      </c>
    </row>
    <row r="65" spans="1:5" x14ac:dyDescent="0.25">
      <c r="A65" s="49"/>
      <c r="B65" s="49"/>
      <c r="C65" s="9"/>
      <c r="D65" s="14"/>
      <c r="E65" s="36"/>
    </row>
    <row r="66" spans="1:5" ht="15.75" x14ac:dyDescent="0.25">
      <c r="A66" s="50" t="s">
        <v>93</v>
      </c>
      <c r="B66" s="50"/>
      <c r="C66" s="11">
        <f>'2015 Revenues'!C27-'2015 Expenditures'!C64</f>
        <v>4790</v>
      </c>
      <c r="D66" s="24">
        <f>'2015 Revenues'!D27:D27-'2015 Expenditures'!D64</f>
        <v>5125</v>
      </c>
      <c r="E66" s="36">
        <f t="shared" si="0"/>
        <v>6.9937369519832981E-2</v>
      </c>
    </row>
  </sheetData>
  <mergeCells count="12">
    <mergeCell ref="A66:B66"/>
    <mergeCell ref="B3:B4"/>
    <mergeCell ref="C3:C4"/>
    <mergeCell ref="D3:D4"/>
    <mergeCell ref="A5:B5"/>
    <mergeCell ref="A6:B6"/>
    <mergeCell ref="A25:B25"/>
    <mergeCell ref="A54:B54"/>
    <mergeCell ref="A56:B56"/>
    <mergeCell ref="A61:B61"/>
    <mergeCell ref="A64:B64"/>
    <mergeCell ref="A65:B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3" sqref="C3:C8"/>
    </sheetView>
  </sheetViews>
  <sheetFormatPr defaultRowHeight="15" x14ac:dyDescent="0.25"/>
  <cols>
    <col min="1" max="1" width="32.85546875" customWidth="1"/>
    <col min="2" max="2" width="45.42578125" bestFit="1" customWidth="1"/>
    <col min="3" max="3" width="16.5703125" bestFit="1" customWidth="1"/>
    <col min="4" max="4" width="15.7109375" bestFit="1" customWidth="1"/>
    <col min="5" max="5" width="26.5703125" bestFit="1" customWidth="1"/>
    <col min="8" max="8" width="9.85546875" bestFit="1" customWidth="1"/>
  </cols>
  <sheetData>
    <row r="1" spans="1:5" x14ac:dyDescent="0.25">
      <c r="B1" s="34" t="s">
        <v>2</v>
      </c>
      <c r="C1" s="35" t="s">
        <v>3</v>
      </c>
      <c r="D1" s="35" t="s">
        <v>47</v>
      </c>
      <c r="E1" s="35" t="s">
        <v>100</v>
      </c>
    </row>
    <row r="2" spans="1:5" x14ac:dyDescent="0.25">
      <c r="A2" s="16">
        <v>9000</v>
      </c>
      <c r="B2" s="15" t="s">
        <v>98</v>
      </c>
      <c r="C2" s="7"/>
      <c r="D2" s="8"/>
    </row>
    <row r="3" spans="1:5" x14ac:dyDescent="0.25">
      <c r="A3" s="9">
        <v>9300</v>
      </c>
      <c r="B3" s="10" t="s">
        <v>99</v>
      </c>
      <c r="C3" s="11">
        <v>82700</v>
      </c>
      <c r="D3" s="12">
        <v>82700</v>
      </c>
      <c r="E3" s="36">
        <f>(D3-C3)/C3</f>
        <v>0</v>
      </c>
    </row>
    <row r="4" spans="1:5" ht="15" customHeight="1" x14ac:dyDescent="0.25">
      <c r="A4" s="9"/>
      <c r="B4" s="9" t="s">
        <v>94</v>
      </c>
      <c r="C4" s="9"/>
      <c r="D4" s="14"/>
      <c r="E4" s="36"/>
    </row>
    <row r="5" spans="1:5" x14ac:dyDescent="0.25">
      <c r="A5" s="9">
        <v>9500</v>
      </c>
      <c r="B5" s="10" t="s">
        <v>95</v>
      </c>
      <c r="C5" s="11">
        <v>16500</v>
      </c>
      <c r="D5" s="12">
        <v>16300</v>
      </c>
      <c r="E5" s="36">
        <f t="shared" ref="E5:E8" si="0">(D5-C5)/C5</f>
        <v>-1.2121212121212121E-2</v>
      </c>
    </row>
    <row r="6" spans="1:5" x14ac:dyDescent="0.25">
      <c r="A6" s="9"/>
      <c r="B6" s="9" t="s">
        <v>96</v>
      </c>
      <c r="C6" s="9"/>
      <c r="D6" s="14"/>
      <c r="E6" s="36"/>
    </row>
    <row r="7" spans="1:5" x14ac:dyDescent="0.25">
      <c r="A7" s="9"/>
      <c r="B7" s="10"/>
      <c r="C7" s="9"/>
      <c r="D7" s="14"/>
      <c r="E7" s="36"/>
    </row>
    <row r="8" spans="1:5" ht="28.5" x14ac:dyDescent="0.25">
      <c r="A8" s="50" t="s">
        <v>97</v>
      </c>
      <c r="B8" s="50"/>
      <c r="C8" s="26">
        <f>C3+C5</f>
        <v>99200</v>
      </c>
      <c r="D8" s="27">
        <f>D3+D5</f>
        <v>99000</v>
      </c>
      <c r="E8" s="36">
        <f t="shared" si="0"/>
        <v>-2.0161290322580645E-3</v>
      </c>
    </row>
    <row r="10" spans="1:5" ht="15.75" x14ac:dyDescent="0.25">
      <c r="A10" s="17" t="s">
        <v>110</v>
      </c>
    </row>
    <row r="11" spans="1:5" ht="15.75" x14ac:dyDescent="0.25">
      <c r="A11" s="17"/>
    </row>
    <row r="12" spans="1:5" ht="15.75" x14ac:dyDescent="0.25">
      <c r="A12" s="33" t="s">
        <v>111</v>
      </c>
    </row>
    <row r="13" spans="1:5" ht="16.5" thickBot="1" x14ac:dyDescent="0.3">
      <c r="A13" s="33"/>
    </row>
    <row r="14" spans="1:5" ht="48" thickBot="1" x14ac:dyDescent="0.3">
      <c r="A14" s="37" t="s">
        <v>112</v>
      </c>
      <c r="B14" s="38" t="s">
        <v>113</v>
      </c>
      <c r="C14" s="38" t="s">
        <v>114</v>
      </c>
    </row>
    <row r="15" spans="1:5" ht="16.5" thickBot="1" x14ac:dyDescent="0.3">
      <c r="A15" s="39" t="s">
        <v>115</v>
      </c>
      <c r="B15" s="40">
        <v>12500</v>
      </c>
      <c r="C15" s="41">
        <v>2500</v>
      </c>
    </row>
    <row r="16" spans="1:5" ht="16.5" thickBot="1" x14ac:dyDescent="0.3">
      <c r="A16" s="39" t="s">
        <v>116</v>
      </c>
      <c r="B16" s="40">
        <v>10000</v>
      </c>
      <c r="C16" s="41">
        <v>2000</v>
      </c>
    </row>
    <row r="17" spans="1:8" ht="16.5" thickBot="1" x14ac:dyDescent="0.3">
      <c r="A17" s="39" t="s">
        <v>117</v>
      </c>
      <c r="B17" s="40">
        <v>6000</v>
      </c>
      <c r="C17" s="41">
        <v>1200</v>
      </c>
    </row>
    <row r="18" spans="1:8" ht="16.5" thickBot="1" x14ac:dyDescent="0.3">
      <c r="A18" s="39" t="s">
        <v>118</v>
      </c>
      <c r="B18" s="40">
        <v>16300</v>
      </c>
      <c r="C18" s="41">
        <v>3260</v>
      </c>
    </row>
    <row r="19" spans="1:8" ht="15.75" x14ac:dyDescent="0.25">
      <c r="A19" s="33"/>
    </row>
    <row r="20" spans="1:8" ht="15.75" x14ac:dyDescent="0.25">
      <c r="A20" s="33" t="s">
        <v>119</v>
      </c>
    </row>
    <row r="21" spans="1:8" ht="16.5" thickBot="1" x14ac:dyDescent="0.3">
      <c r="A21" s="17"/>
    </row>
    <row r="22" spans="1:8" ht="15.75" x14ac:dyDescent="0.25">
      <c r="A22" s="55" t="s">
        <v>120</v>
      </c>
      <c r="B22" s="55" t="s">
        <v>113</v>
      </c>
      <c r="C22" s="42" t="s">
        <v>121</v>
      </c>
      <c r="D22" s="42" t="s">
        <v>122</v>
      </c>
      <c r="E22" s="42" t="s">
        <v>123</v>
      </c>
      <c r="F22" s="44" t="s">
        <v>124</v>
      </c>
      <c r="G22" s="42" t="s">
        <v>125</v>
      </c>
      <c r="H22" s="55" t="s">
        <v>126</v>
      </c>
    </row>
    <row r="23" spans="1:8" ht="16.5" thickBot="1" x14ac:dyDescent="0.3">
      <c r="A23" s="56"/>
      <c r="B23" s="56"/>
      <c r="C23" s="43">
        <v>0.2</v>
      </c>
      <c r="D23" s="43">
        <v>0.15</v>
      </c>
      <c r="E23" s="43">
        <v>0.15</v>
      </c>
      <c r="F23" s="43">
        <v>0.1</v>
      </c>
      <c r="G23" s="43">
        <v>0.1</v>
      </c>
      <c r="H23" s="56"/>
    </row>
    <row r="24" spans="1:8" ht="16.5" thickBot="1" x14ac:dyDescent="0.3">
      <c r="A24" s="39" t="s">
        <v>127</v>
      </c>
      <c r="B24" s="45">
        <v>70250</v>
      </c>
      <c r="C24" s="46">
        <v>14050</v>
      </c>
      <c r="D24" s="46">
        <v>8430</v>
      </c>
      <c r="E24" s="46">
        <v>7166</v>
      </c>
      <c r="F24" s="46">
        <v>4061</v>
      </c>
      <c r="G24" s="46">
        <v>3654</v>
      </c>
      <c r="H24" s="45">
        <v>32890</v>
      </c>
    </row>
    <row r="25" spans="1:8" ht="16.5" thickBot="1" x14ac:dyDescent="0.3">
      <c r="A25" s="39" t="s">
        <v>128</v>
      </c>
      <c r="B25" s="45">
        <v>82700</v>
      </c>
      <c r="C25" s="46">
        <v>16540</v>
      </c>
      <c r="D25" s="46">
        <v>9924</v>
      </c>
      <c r="E25" s="46">
        <v>8435</v>
      </c>
      <c r="F25" s="46">
        <v>4780</v>
      </c>
      <c r="G25" s="46">
        <v>4302</v>
      </c>
      <c r="H25" s="45">
        <v>38718</v>
      </c>
    </row>
  </sheetData>
  <mergeCells count="4">
    <mergeCell ref="A22:A23"/>
    <mergeCell ref="B22:B23"/>
    <mergeCell ref="H22:H23"/>
    <mergeCell ref="A8:B8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8" sqref="F18"/>
    </sheetView>
  </sheetViews>
  <sheetFormatPr defaultRowHeight="15" x14ac:dyDescent="0.25"/>
  <cols>
    <col min="1" max="1" width="26.5703125" bestFit="1" customWidth="1"/>
    <col min="2" max="3" width="21.140625" bestFit="1" customWidth="1"/>
    <col min="4" max="4" width="24.42578125" bestFit="1" customWidth="1"/>
  </cols>
  <sheetData>
    <row r="1" spans="1:4" x14ac:dyDescent="0.25">
      <c r="B1" s="35" t="s">
        <v>131</v>
      </c>
      <c r="C1" s="35" t="s">
        <v>132</v>
      </c>
      <c r="D1" s="35" t="s">
        <v>108</v>
      </c>
    </row>
    <row r="2" spans="1:4" x14ac:dyDescent="0.25">
      <c r="A2" s="34" t="s">
        <v>102</v>
      </c>
      <c r="B2" s="32">
        <f>'2016 Revenues'!C30</f>
        <v>729200</v>
      </c>
      <c r="C2" s="32">
        <f>'2016 Revenues'!D30</f>
        <v>681000</v>
      </c>
      <c r="D2" s="36">
        <f>'2016 Revenues'!E30</f>
        <v>7.0778267254038185E-2</v>
      </c>
    </row>
    <row r="3" spans="1:4" x14ac:dyDescent="0.25">
      <c r="A3" s="34" t="s">
        <v>103</v>
      </c>
      <c r="B3" s="32">
        <f>'2016 Expenditures'!C24</f>
        <v>446276.25</v>
      </c>
      <c r="C3" s="32">
        <f>'2016 Expenditures'!D24</f>
        <v>369375</v>
      </c>
      <c r="D3" s="36">
        <f>'2016 Expenditures'!E24</f>
        <v>0.20819289340101524</v>
      </c>
    </row>
    <row r="4" spans="1:4" x14ac:dyDescent="0.25">
      <c r="A4" s="34" t="s">
        <v>104</v>
      </c>
      <c r="B4" s="32">
        <f>'2016 Expenditures'!C55</f>
        <v>264275</v>
      </c>
      <c r="C4" s="32">
        <f>'2016 Expenditures'!D55</f>
        <v>272905</v>
      </c>
      <c r="D4" s="36">
        <f>'2016 Expenditures'!E55</f>
        <v>-3.1622725856983197E-2</v>
      </c>
    </row>
    <row r="5" spans="1:4" x14ac:dyDescent="0.25">
      <c r="A5" s="34" t="s">
        <v>105</v>
      </c>
      <c r="B5" s="32">
        <f>'2016 Expenditures'!C62</f>
        <v>42800</v>
      </c>
      <c r="C5" s="32">
        <f>'2016 Expenditures'!D62</f>
        <v>33930</v>
      </c>
      <c r="D5" s="36">
        <f>'2016 Expenditures'!E62</f>
        <v>0.26142057176539935</v>
      </c>
    </row>
    <row r="6" spans="1:4" x14ac:dyDescent="0.25">
      <c r="A6" s="34" t="s">
        <v>106</v>
      </c>
      <c r="B6" s="32">
        <f>'2016 Expenditures'!C65</f>
        <v>753351.25</v>
      </c>
      <c r="C6" s="32">
        <f>'2016 Expenditures'!D65</f>
        <v>676210</v>
      </c>
      <c r="D6" s="36">
        <f>'2016 Expenditures'!E65</f>
        <v>0.1140788364561305</v>
      </c>
    </row>
    <row r="7" spans="1:4" x14ac:dyDescent="0.25">
      <c r="A7" s="34" t="s">
        <v>107</v>
      </c>
      <c r="B7" s="32">
        <f>'2016 Capital Budget'!C8</f>
        <v>100250</v>
      </c>
      <c r="C7" s="32">
        <f>'2016 Capital Budget'!D8</f>
        <v>99200</v>
      </c>
      <c r="D7" s="36">
        <f>'2016 Capital Budget'!E8</f>
        <v>1.0584677419354838E-2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C23" sqref="C23"/>
    </sheetView>
  </sheetViews>
  <sheetFormatPr defaultRowHeight="15" x14ac:dyDescent="0.25"/>
  <cols>
    <col min="1" max="1" width="13.140625" bestFit="1" customWidth="1"/>
    <col min="2" max="2" width="38.140625" bestFit="1" customWidth="1"/>
    <col min="3" max="3" width="23.28515625" bestFit="1" customWidth="1"/>
    <col min="4" max="4" width="18.140625" customWidth="1"/>
    <col min="5" max="5" width="26.5703125" bestFit="1" customWidth="1"/>
  </cols>
  <sheetData>
    <row r="1" spans="1:5" ht="28.5" x14ac:dyDescent="0.25">
      <c r="A1" s="16" t="s">
        <v>1</v>
      </c>
      <c r="B1" s="16" t="s">
        <v>2</v>
      </c>
      <c r="C1" s="25" t="s">
        <v>131</v>
      </c>
      <c r="D1" s="18" t="s">
        <v>132</v>
      </c>
      <c r="E1" s="35" t="s">
        <v>108</v>
      </c>
    </row>
    <row r="2" spans="1:5" x14ac:dyDescent="0.25">
      <c r="A2" s="16" t="s">
        <v>5</v>
      </c>
      <c r="B2" s="15" t="s">
        <v>6</v>
      </c>
      <c r="C2" s="7"/>
      <c r="D2" s="8"/>
    </row>
    <row r="3" spans="1:5" x14ac:dyDescent="0.25">
      <c r="A3" s="9" t="s">
        <v>7</v>
      </c>
      <c r="B3" s="10" t="s">
        <v>8</v>
      </c>
      <c r="C3" s="11">
        <v>25000</v>
      </c>
      <c r="D3" s="11">
        <v>25000</v>
      </c>
      <c r="E3" s="36">
        <f>(C3-D3)/D3</f>
        <v>0</v>
      </c>
    </row>
    <row r="4" spans="1:5" x14ac:dyDescent="0.25">
      <c r="A4" s="9" t="s">
        <v>9</v>
      </c>
      <c r="B4" s="8" t="s">
        <v>10</v>
      </c>
      <c r="C4" s="11">
        <v>10000</v>
      </c>
      <c r="D4" s="11">
        <v>10000</v>
      </c>
      <c r="E4" s="36">
        <f>(C4-D4)/D4</f>
        <v>0</v>
      </c>
    </row>
    <row r="5" spans="1:5" x14ac:dyDescent="0.25">
      <c r="A5" s="9" t="s">
        <v>11</v>
      </c>
      <c r="B5" s="8" t="s">
        <v>12</v>
      </c>
      <c r="C5" s="11">
        <v>50000</v>
      </c>
      <c r="D5" s="11">
        <v>50000</v>
      </c>
      <c r="E5" s="36">
        <f t="shared" ref="E5:E23" si="0">(C5-D5)/D5</f>
        <v>0</v>
      </c>
    </row>
    <row r="6" spans="1:5" x14ac:dyDescent="0.25">
      <c r="A6" s="9" t="s">
        <v>13</v>
      </c>
      <c r="B6" s="8" t="s">
        <v>14</v>
      </c>
      <c r="C6" s="11">
        <v>12000</v>
      </c>
      <c r="D6" s="11">
        <v>12000</v>
      </c>
      <c r="E6" s="36">
        <f t="shared" si="0"/>
        <v>0</v>
      </c>
    </row>
    <row r="7" spans="1:5" x14ac:dyDescent="0.25">
      <c r="A7" s="16" t="s">
        <v>15</v>
      </c>
      <c r="B7" s="15" t="s">
        <v>16</v>
      </c>
      <c r="C7" s="7"/>
      <c r="D7" s="7"/>
      <c r="E7" s="36"/>
    </row>
    <row r="8" spans="1:5" x14ac:dyDescent="0.25">
      <c r="A8" s="9" t="s">
        <v>17</v>
      </c>
      <c r="B8" s="10" t="s">
        <v>18</v>
      </c>
      <c r="C8" s="11">
        <v>90000</v>
      </c>
      <c r="D8" s="11">
        <v>103800</v>
      </c>
      <c r="E8" s="36">
        <f t="shared" si="0"/>
        <v>-0.13294797687861271</v>
      </c>
    </row>
    <row r="9" spans="1:5" x14ac:dyDescent="0.25">
      <c r="A9" s="9" t="s">
        <v>19</v>
      </c>
      <c r="B9" s="10" t="s">
        <v>20</v>
      </c>
      <c r="C9" s="11">
        <v>28600</v>
      </c>
      <c r="D9" s="11">
        <v>28600</v>
      </c>
      <c r="E9" s="36">
        <f t="shared" si="0"/>
        <v>0</v>
      </c>
    </row>
    <row r="10" spans="1:5" x14ac:dyDescent="0.25">
      <c r="A10" s="9" t="s">
        <v>21</v>
      </c>
      <c r="B10" s="10" t="s">
        <v>22</v>
      </c>
      <c r="C10" s="11">
        <v>70800</v>
      </c>
      <c r="D10" s="11">
        <v>70800</v>
      </c>
      <c r="E10" s="36">
        <f t="shared" si="0"/>
        <v>0</v>
      </c>
    </row>
    <row r="11" spans="1:5" x14ac:dyDescent="0.25">
      <c r="A11" s="9" t="s">
        <v>23</v>
      </c>
      <c r="B11" s="10" t="s">
        <v>24</v>
      </c>
      <c r="C11" s="11">
        <v>27750</v>
      </c>
      <c r="D11" s="11">
        <v>27750</v>
      </c>
      <c r="E11" s="36">
        <f t="shared" si="0"/>
        <v>0</v>
      </c>
    </row>
    <row r="12" spans="1:5" x14ac:dyDescent="0.25">
      <c r="A12" s="9" t="s">
        <v>25</v>
      </c>
      <c r="B12" s="8" t="s">
        <v>26</v>
      </c>
      <c r="C12" s="11">
        <v>49500</v>
      </c>
      <c r="D12" s="11">
        <v>49500</v>
      </c>
      <c r="E12" s="36">
        <f t="shared" si="0"/>
        <v>0</v>
      </c>
    </row>
    <row r="13" spans="1:5" x14ac:dyDescent="0.25">
      <c r="A13" s="9" t="s">
        <v>27</v>
      </c>
      <c r="B13" s="10" t="s">
        <v>28</v>
      </c>
      <c r="C13" s="11">
        <v>41550</v>
      </c>
      <c r="D13" s="11">
        <v>41550</v>
      </c>
      <c r="E13" s="36">
        <f t="shared" si="0"/>
        <v>0</v>
      </c>
    </row>
    <row r="14" spans="1:5" x14ac:dyDescent="0.25">
      <c r="A14" s="7"/>
      <c r="B14" s="7"/>
      <c r="C14" s="7"/>
      <c r="D14" s="8"/>
      <c r="E14" s="36"/>
    </row>
    <row r="15" spans="1:5" x14ac:dyDescent="0.25">
      <c r="A15" s="16" t="s">
        <v>29</v>
      </c>
      <c r="B15" s="47" t="s">
        <v>30</v>
      </c>
      <c r="C15" s="47"/>
      <c r="D15" s="13"/>
      <c r="E15" s="36"/>
    </row>
    <row r="16" spans="1:5" x14ac:dyDescent="0.25">
      <c r="A16" s="9" t="s">
        <v>31</v>
      </c>
      <c r="B16" s="10" t="s">
        <v>32</v>
      </c>
      <c r="C16" s="11">
        <v>28000</v>
      </c>
      <c r="D16" s="11">
        <v>28000</v>
      </c>
      <c r="E16" s="36">
        <f t="shared" si="0"/>
        <v>0</v>
      </c>
    </row>
    <row r="17" spans="1:5" x14ac:dyDescent="0.25">
      <c r="A17" s="9" t="s">
        <v>33</v>
      </c>
      <c r="B17" s="10" t="s">
        <v>34</v>
      </c>
      <c r="C17" s="11">
        <v>92000</v>
      </c>
      <c r="D17" s="11">
        <v>92000</v>
      </c>
      <c r="E17" s="36">
        <f t="shared" si="0"/>
        <v>0</v>
      </c>
    </row>
    <row r="18" spans="1:5" x14ac:dyDescent="0.25">
      <c r="A18" s="9" t="s">
        <v>35</v>
      </c>
      <c r="B18" s="10" t="s">
        <v>36</v>
      </c>
      <c r="C18" s="11">
        <v>55000</v>
      </c>
      <c r="D18" s="11">
        <v>55000</v>
      </c>
      <c r="E18" s="36">
        <f t="shared" si="0"/>
        <v>0</v>
      </c>
    </row>
    <row r="19" spans="1:5" x14ac:dyDescent="0.25">
      <c r="A19" s="7"/>
      <c r="B19" s="7"/>
      <c r="C19" s="7"/>
      <c r="D19" s="7"/>
      <c r="E19" s="36"/>
    </row>
    <row r="20" spans="1:5" x14ac:dyDescent="0.25">
      <c r="A20" s="16" t="s">
        <v>37</v>
      </c>
      <c r="B20" s="15" t="s">
        <v>38</v>
      </c>
      <c r="C20" s="7"/>
      <c r="D20" s="7"/>
      <c r="E20" s="36"/>
    </row>
    <row r="21" spans="1:5" x14ac:dyDescent="0.25">
      <c r="A21" s="9" t="s">
        <v>39</v>
      </c>
      <c r="B21" s="10" t="s">
        <v>32</v>
      </c>
      <c r="C21" s="11">
        <v>22000</v>
      </c>
      <c r="D21" s="11">
        <v>22000</v>
      </c>
      <c r="E21" s="36">
        <f t="shared" si="0"/>
        <v>0</v>
      </c>
    </row>
    <row r="22" spans="1:5" x14ac:dyDescent="0.25">
      <c r="A22" s="9" t="s">
        <v>40</v>
      </c>
      <c r="B22" s="10" t="s">
        <v>41</v>
      </c>
      <c r="C22" s="11">
        <v>25000</v>
      </c>
      <c r="D22" s="11">
        <v>25000</v>
      </c>
      <c r="E22" s="36">
        <f t="shared" si="0"/>
        <v>0</v>
      </c>
    </row>
    <row r="23" spans="1:5" x14ac:dyDescent="0.25">
      <c r="A23" s="9" t="s">
        <v>42</v>
      </c>
      <c r="B23" s="10" t="s">
        <v>36</v>
      </c>
      <c r="C23" s="11">
        <v>40000</v>
      </c>
      <c r="D23" s="11">
        <v>40000</v>
      </c>
      <c r="E23" s="36">
        <f t="shared" si="0"/>
        <v>0</v>
      </c>
    </row>
    <row r="24" spans="1:5" x14ac:dyDescent="0.25">
      <c r="A24" s="9"/>
      <c r="B24" s="10"/>
      <c r="C24" s="11"/>
      <c r="D24" s="11"/>
      <c r="E24" s="36"/>
    </row>
    <row r="25" spans="1:5" x14ac:dyDescent="0.25">
      <c r="A25" s="19" t="s">
        <v>133</v>
      </c>
      <c r="B25" s="31" t="s">
        <v>139</v>
      </c>
      <c r="C25" s="11"/>
      <c r="D25" s="11"/>
      <c r="E25" s="36"/>
    </row>
    <row r="26" spans="1:5" x14ac:dyDescent="0.25">
      <c r="A26" s="9" t="s">
        <v>134</v>
      </c>
      <c r="B26" s="10" t="s">
        <v>32</v>
      </c>
      <c r="C26" s="11">
        <v>22000</v>
      </c>
      <c r="D26" s="11">
        <v>0</v>
      </c>
      <c r="E26" s="36"/>
    </row>
    <row r="27" spans="1:5" x14ac:dyDescent="0.25">
      <c r="A27" s="9" t="s">
        <v>135</v>
      </c>
      <c r="B27" s="10" t="s">
        <v>137</v>
      </c>
      <c r="C27" s="11">
        <v>30000</v>
      </c>
      <c r="D27" s="11">
        <v>0</v>
      </c>
      <c r="E27" s="36"/>
    </row>
    <row r="28" spans="1:5" x14ac:dyDescent="0.25">
      <c r="A28" s="9" t="s">
        <v>136</v>
      </c>
      <c r="B28" s="10" t="s">
        <v>138</v>
      </c>
      <c r="C28" s="11">
        <v>10000</v>
      </c>
      <c r="D28" s="11">
        <v>0</v>
      </c>
      <c r="E28" s="36"/>
    </row>
    <row r="29" spans="1:5" x14ac:dyDescent="0.25">
      <c r="A29" s="49"/>
      <c r="B29" s="49"/>
      <c r="C29" s="9"/>
      <c r="D29" s="9"/>
      <c r="E29" s="36"/>
    </row>
    <row r="30" spans="1:5" ht="15.75" x14ac:dyDescent="0.25">
      <c r="A30" s="50" t="s">
        <v>43</v>
      </c>
      <c r="B30" s="50"/>
      <c r="C30" s="26">
        <f>SUM(C3:C28)</f>
        <v>729200</v>
      </c>
      <c r="D30" s="26">
        <f>SUM(D3:D28)</f>
        <v>681000</v>
      </c>
      <c r="E30" s="36">
        <f>(C30-D30)/D30</f>
        <v>7.0778267254038185E-2</v>
      </c>
    </row>
  </sheetData>
  <mergeCells count="2">
    <mergeCell ref="A29:B29"/>
    <mergeCell ref="A30:B30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B24" zoomScale="85" zoomScaleNormal="85" workbookViewId="0">
      <selection activeCell="H29" sqref="H29"/>
    </sheetView>
  </sheetViews>
  <sheetFormatPr defaultRowHeight="15" x14ac:dyDescent="0.25"/>
  <cols>
    <col min="1" max="1" width="7.85546875" bestFit="1" customWidth="1"/>
    <col min="2" max="2" width="41.7109375" bestFit="1" customWidth="1"/>
    <col min="3" max="3" width="23.28515625" bestFit="1" customWidth="1"/>
    <col min="4" max="4" width="23.28515625" customWidth="1"/>
    <col min="5" max="5" width="26.5703125" bestFit="1" customWidth="1"/>
  </cols>
  <sheetData>
    <row r="1" spans="1:5" x14ac:dyDescent="0.25">
      <c r="A1" s="16" t="s">
        <v>45</v>
      </c>
      <c r="B1" s="49" t="s">
        <v>2</v>
      </c>
      <c r="C1" s="51" t="s">
        <v>131</v>
      </c>
      <c r="D1" s="52" t="s">
        <v>132</v>
      </c>
    </row>
    <row r="2" spans="1:5" x14ac:dyDescent="0.25">
      <c r="A2" s="16" t="s">
        <v>46</v>
      </c>
      <c r="B2" s="49"/>
      <c r="C2" s="51"/>
      <c r="D2" s="52"/>
      <c r="E2" s="35" t="s">
        <v>108</v>
      </c>
    </row>
    <row r="3" spans="1:5" ht="15.75" x14ac:dyDescent="0.25">
      <c r="A3" s="53"/>
      <c r="B3" s="53"/>
      <c r="C3" s="19"/>
      <c r="D3" s="20"/>
    </row>
    <row r="4" spans="1:5" ht="15.75" x14ac:dyDescent="0.25">
      <c r="A4" s="53" t="s">
        <v>48</v>
      </c>
      <c r="B4" s="53"/>
      <c r="C4" s="19"/>
      <c r="D4" s="20"/>
    </row>
    <row r="5" spans="1:5" x14ac:dyDescent="0.25">
      <c r="A5" s="16"/>
      <c r="B5" s="21"/>
      <c r="C5" s="16"/>
      <c r="D5" s="13"/>
    </row>
    <row r="6" spans="1:5" x14ac:dyDescent="0.25">
      <c r="A6" s="16">
        <v>1000</v>
      </c>
      <c r="B6" s="15" t="s">
        <v>49</v>
      </c>
      <c r="C6" s="7"/>
      <c r="D6" s="13"/>
    </row>
    <row r="7" spans="1:5" x14ac:dyDescent="0.25">
      <c r="A7" s="9">
        <v>1110</v>
      </c>
      <c r="B7" s="10" t="s">
        <v>50</v>
      </c>
      <c r="C7" s="11">
        <f>(53250*0.03)+53250</f>
        <v>54847.5</v>
      </c>
      <c r="D7" s="11">
        <v>53250</v>
      </c>
      <c r="E7" s="36">
        <f>(C7-D7)/D7</f>
        <v>0.03</v>
      </c>
    </row>
    <row r="8" spans="1:5" x14ac:dyDescent="0.25">
      <c r="A8" s="9">
        <v>1120</v>
      </c>
      <c r="B8" s="10" t="s">
        <v>51</v>
      </c>
      <c r="C8" s="11">
        <f>(38000*0.03)+38000</f>
        <v>39140</v>
      </c>
      <c r="D8" s="11">
        <v>38000</v>
      </c>
      <c r="E8" s="36">
        <f t="shared" ref="E8:E67" si="0">(C8-D8)/D8</f>
        <v>0.03</v>
      </c>
    </row>
    <row r="9" spans="1:5" x14ac:dyDescent="0.25">
      <c r="A9" s="9">
        <v>1130</v>
      </c>
      <c r="B9" s="10" t="s">
        <v>52</v>
      </c>
      <c r="C9" s="11">
        <f>(38000*0.03)+38000</f>
        <v>39140</v>
      </c>
      <c r="D9" s="11">
        <v>38000</v>
      </c>
      <c r="E9" s="36">
        <f>(C9-D9)/D9</f>
        <v>0.03</v>
      </c>
    </row>
    <row r="10" spans="1:5" x14ac:dyDescent="0.25">
      <c r="A10" s="9">
        <v>1140</v>
      </c>
      <c r="B10" s="10" t="s">
        <v>140</v>
      </c>
      <c r="C10" s="11">
        <v>38000</v>
      </c>
      <c r="D10" s="11">
        <v>0</v>
      </c>
      <c r="E10" s="36"/>
    </row>
    <row r="11" spans="1:5" x14ac:dyDescent="0.25">
      <c r="A11" s="9">
        <v>1150</v>
      </c>
      <c r="B11" s="10" t="s">
        <v>53</v>
      </c>
      <c r="C11" s="11">
        <f>(40000*0.03)+40000</f>
        <v>41200</v>
      </c>
      <c r="D11" s="11">
        <v>40000</v>
      </c>
      <c r="E11" s="36">
        <f t="shared" si="0"/>
        <v>0.03</v>
      </c>
    </row>
    <row r="12" spans="1:5" x14ac:dyDescent="0.25">
      <c r="A12" s="9">
        <v>1160</v>
      </c>
      <c r="B12" s="10" t="s">
        <v>54</v>
      </c>
      <c r="C12" s="11">
        <f>35000*1.03</f>
        <v>36050</v>
      </c>
      <c r="D12" s="11">
        <v>35000</v>
      </c>
      <c r="E12" s="36">
        <f t="shared" si="0"/>
        <v>0.03</v>
      </c>
    </row>
    <row r="13" spans="1:5" x14ac:dyDescent="0.25">
      <c r="A13" s="9">
        <v>1170</v>
      </c>
      <c r="B13" s="10" t="s">
        <v>55</v>
      </c>
      <c r="C13" s="11">
        <f>20000*1.03</f>
        <v>20600</v>
      </c>
      <c r="D13" s="11">
        <v>20000</v>
      </c>
      <c r="E13" s="36">
        <f t="shared" si="0"/>
        <v>0.03</v>
      </c>
    </row>
    <row r="14" spans="1:5" x14ac:dyDescent="0.25">
      <c r="A14" s="9">
        <v>1180</v>
      </c>
      <c r="B14" s="10" t="s">
        <v>56</v>
      </c>
      <c r="C14" s="11">
        <f>17500*1.03</f>
        <v>18025</v>
      </c>
      <c r="D14" s="11">
        <v>17500</v>
      </c>
      <c r="E14" s="36">
        <f t="shared" si="0"/>
        <v>0.03</v>
      </c>
    </row>
    <row r="15" spans="1:5" x14ac:dyDescent="0.25">
      <c r="A15" s="9">
        <v>1200</v>
      </c>
      <c r="B15" s="10" t="s">
        <v>57</v>
      </c>
      <c r="C15" s="11">
        <f>10000*1.03</f>
        <v>10300</v>
      </c>
      <c r="D15" s="11">
        <v>10000</v>
      </c>
      <c r="E15" s="36">
        <f t="shared" si="0"/>
        <v>0.03</v>
      </c>
    </row>
    <row r="16" spans="1:5" x14ac:dyDescent="0.25">
      <c r="A16" s="9">
        <v>1210</v>
      </c>
      <c r="B16" s="10" t="s">
        <v>141</v>
      </c>
      <c r="C16" s="11">
        <v>7500</v>
      </c>
      <c r="D16" s="11">
        <v>0</v>
      </c>
      <c r="E16" s="36"/>
    </row>
    <row r="17" spans="1:5" x14ac:dyDescent="0.25">
      <c r="A17" s="9">
        <v>1300</v>
      </c>
      <c r="B17" s="10" t="s">
        <v>58</v>
      </c>
      <c r="C17" s="11">
        <v>2500</v>
      </c>
      <c r="D17" s="11">
        <v>2500</v>
      </c>
      <c r="E17" s="36">
        <f t="shared" si="0"/>
        <v>0</v>
      </c>
    </row>
    <row r="18" spans="1:5" x14ac:dyDescent="0.25">
      <c r="A18" s="9">
        <v>1400</v>
      </c>
      <c r="B18" s="10" t="s">
        <v>59</v>
      </c>
      <c r="C18" s="11">
        <v>2500</v>
      </c>
      <c r="D18" s="11">
        <v>2500</v>
      </c>
      <c r="E18" s="36">
        <f t="shared" si="0"/>
        <v>0</v>
      </c>
    </row>
    <row r="19" spans="1:5" x14ac:dyDescent="0.25">
      <c r="A19" s="9"/>
      <c r="B19" s="10"/>
      <c r="C19" s="11"/>
      <c r="D19" s="11"/>
      <c r="E19" s="36"/>
    </row>
    <row r="20" spans="1:5" x14ac:dyDescent="0.25">
      <c r="A20" s="7"/>
      <c r="B20" s="7"/>
      <c r="C20" s="7"/>
      <c r="D20" s="7"/>
      <c r="E20" s="36"/>
    </row>
    <row r="21" spans="1:5" x14ac:dyDescent="0.25">
      <c r="A21" s="9">
        <v>1800</v>
      </c>
      <c r="B21" s="10" t="s">
        <v>60</v>
      </c>
      <c r="C21" s="9">
        <f>SUM(C7:C12)*0.5</f>
        <v>124188.75</v>
      </c>
      <c r="D21" s="9">
        <f>((D7+D8+D9+D11+D12)*0.5)</f>
        <v>102125</v>
      </c>
      <c r="E21" s="36">
        <f t="shared" si="0"/>
        <v>0.21604651162790697</v>
      </c>
    </row>
    <row r="22" spans="1:5" x14ac:dyDescent="0.25">
      <c r="A22" s="9">
        <v>1820</v>
      </c>
      <c r="B22" s="10" t="s">
        <v>61</v>
      </c>
      <c r="C22" s="9">
        <f>SUM(C13:C18)*0.2</f>
        <v>12285</v>
      </c>
      <c r="D22" s="9">
        <f>((D13+D14+D15+D17+D18)*0.2)</f>
        <v>10500</v>
      </c>
      <c r="E22" s="36">
        <f t="shared" si="0"/>
        <v>0.17</v>
      </c>
    </row>
    <row r="23" spans="1:5" x14ac:dyDescent="0.25">
      <c r="A23" s="7"/>
      <c r="B23" s="7"/>
      <c r="C23" s="7"/>
      <c r="D23" s="7"/>
      <c r="E23" s="36"/>
    </row>
    <row r="24" spans="1:5" ht="15.75" x14ac:dyDescent="0.25">
      <c r="A24" s="23"/>
      <c r="B24" s="17" t="s">
        <v>62</v>
      </c>
      <c r="C24" s="29">
        <f>SUM(C7:C22)</f>
        <v>446276.25</v>
      </c>
      <c r="D24" s="29">
        <f>SUM(D7:D22)</f>
        <v>369375</v>
      </c>
      <c r="E24" s="36">
        <f t="shared" si="0"/>
        <v>0.20819289340101524</v>
      </c>
    </row>
    <row r="25" spans="1:5" x14ac:dyDescent="0.25">
      <c r="A25" s="23"/>
      <c r="B25" s="23"/>
      <c r="C25" s="23"/>
      <c r="D25" s="22"/>
      <c r="E25" s="36"/>
    </row>
    <row r="26" spans="1:5" ht="15.75" x14ac:dyDescent="0.25">
      <c r="A26" s="50" t="s">
        <v>63</v>
      </c>
      <c r="B26" s="50"/>
      <c r="C26" s="23"/>
      <c r="D26" s="22"/>
      <c r="E26" s="36"/>
    </row>
    <row r="27" spans="1:5" x14ac:dyDescent="0.25">
      <c r="A27" s="23"/>
      <c r="B27" s="23"/>
      <c r="C27" s="23"/>
      <c r="D27" s="22"/>
      <c r="E27" s="36"/>
    </row>
    <row r="28" spans="1:5" x14ac:dyDescent="0.25">
      <c r="A28" s="16">
        <v>2000</v>
      </c>
      <c r="B28" s="15" t="s">
        <v>64</v>
      </c>
      <c r="C28" s="7"/>
      <c r="D28" s="8"/>
      <c r="E28" s="36"/>
    </row>
    <row r="29" spans="1:5" x14ac:dyDescent="0.25">
      <c r="A29" s="9">
        <v>2110</v>
      </c>
      <c r="B29" s="10" t="s">
        <v>65</v>
      </c>
      <c r="C29" s="11">
        <v>1800</v>
      </c>
      <c r="D29" s="11">
        <v>4350</v>
      </c>
      <c r="E29" s="36">
        <f t="shared" si="0"/>
        <v>-0.58620689655172409</v>
      </c>
    </row>
    <row r="30" spans="1:5" x14ac:dyDescent="0.25">
      <c r="A30" s="9">
        <v>2120</v>
      </c>
      <c r="B30" s="10" t="s">
        <v>66</v>
      </c>
      <c r="C30" s="11">
        <v>12155</v>
      </c>
      <c r="D30" s="11">
        <v>12155</v>
      </c>
      <c r="E30" s="36">
        <f t="shared" si="0"/>
        <v>0</v>
      </c>
    </row>
    <row r="31" spans="1:5" x14ac:dyDescent="0.25">
      <c r="A31" s="9">
        <v>2310</v>
      </c>
      <c r="B31" s="10" t="s">
        <v>67</v>
      </c>
      <c r="C31" s="11">
        <v>9000</v>
      </c>
      <c r="D31" s="11">
        <v>19530</v>
      </c>
      <c r="E31" s="36">
        <f t="shared" si="0"/>
        <v>-0.53917050691244239</v>
      </c>
    </row>
    <row r="32" spans="1:5" x14ac:dyDescent="0.25">
      <c r="A32" s="9">
        <v>2340</v>
      </c>
      <c r="B32" s="8" t="s">
        <v>68</v>
      </c>
      <c r="C32" s="11">
        <v>11850</v>
      </c>
      <c r="D32" s="11">
        <v>11850</v>
      </c>
      <c r="E32" s="36">
        <f t="shared" si="0"/>
        <v>0</v>
      </c>
    </row>
    <row r="33" spans="1:5" x14ac:dyDescent="0.25">
      <c r="A33" s="9">
        <v>2380</v>
      </c>
      <c r="B33" s="10" t="s">
        <v>69</v>
      </c>
      <c r="C33" s="11">
        <v>5000</v>
      </c>
      <c r="D33" s="11">
        <v>5000</v>
      </c>
      <c r="E33" s="36">
        <f t="shared" si="0"/>
        <v>0</v>
      </c>
    </row>
    <row r="34" spans="1:5" x14ac:dyDescent="0.25">
      <c r="A34" s="9">
        <v>2400</v>
      </c>
      <c r="B34" s="10" t="s">
        <v>70</v>
      </c>
      <c r="C34" s="11">
        <v>17815</v>
      </c>
      <c r="D34" s="11">
        <v>17815</v>
      </c>
      <c r="E34" s="36">
        <f t="shared" si="0"/>
        <v>0</v>
      </c>
    </row>
    <row r="35" spans="1:5" x14ac:dyDescent="0.25">
      <c r="A35" s="9">
        <v>2500</v>
      </c>
      <c r="B35" s="10" t="s">
        <v>71</v>
      </c>
      <c r="C35" s="11">
        <v>13370</v>
      </c>
      <c r="D35" s="11">
        <v>10370</v>
      </c>
      <c r="E35" s="36">
        <f t="shared" si="0"/>
        <v>0.28929604628736738</v>
      </c>
    </row>
    <row r="36" spans="1:5" x14ac:dyDescent="0.25">
      <c r="A36" s="9">
        <v>2600</v>
      </c>
      <c r="B36" s="10" t="s">
        <v>72</v>
      </c>
      <c r="C36" s="11">
        <v>16865</v>
      </c>
      <c r="D36" s="11">
        <v>16865</v>
      </c>
      <c r="E36" s="36">
        <f t="shared" si="0"/>
        <v>0</v>
      </c>
    </row>
    <row r="37" spans="1:5" x14ac:dyDescent="0.25">
      <c r="A37" s="7"/>
      <c r="B37" s="7"/>
      <c r="C37" s="7"/>
      <c r="D37" s="7"/>
      <c r="E37" s="36"/>
    </row>
    <row r="38" spans="1:5" x14ac:dyDescent="0.25">
      <c r="A38" s="16">
        <v>3000</v>
      </c>
      <c r="B38" s="15" t="s">
        <v>73</v>
      </c>
      <c r="C38" s="7"/>
      <c r="D38" s="7"/>
      <c r="E38" s="36"/>
    </row>
    <row r="39" spans="1:5" x14ac:dyDescent="0.25">
      <c r="A39" s="9">
        <v>3110</v>
      </c>
      <c r="B39" s="10" t="s">
        <v>74</v>
      </c>
      <c r="C39" s="11">
        <v>18500</v>
      </c>
      <c r="D39" s="11">
        <v>19155</v>
      </c>
      <c r="E39" s="36">
        <f t="shared" si="0"/>
        <v>-3.4194727225267556E-2</v>
      </c>
    </row>
    <row r="40" spans="1:5" x14ac:dyDescent="0.25">
      <c r="A40" s="9">
        <v>3130</v>
      </c>
      <c r="B40" s="10" t="s">
        <v>75</v>
      </c>
      <c r="C40" s="11">
        <v>50500</v>
      </c>
      <c r="D40" s="11">
        <v>48825</v>
      </c>
      <c r="E40" s="36">
        <f t="shared" si="0"/>
        <v>3.430619559651818E-2</v>
      </c>
    </row>
    <row r="41" spans="1:5" x14ac:dyDescent="0.25">
      <c r="A41" s="9">
        <v>3180</v>
      </c>
      <c r="B41" s="10" t="s">
        <v>76</v>
      </c>
      <c r="C41" s="11">
        <v>11880</v>
      </c>
      <c r="D41" s="11">
        <v>9880</v>
      </c>
      <c r="E41" s="36">
        <f t="shared" si="0"/>
        <v>0.20242914979757085</v>
      </c>
    </row>
    <row r="42" spans="1:5" x14ac:dyDescent="0.25">
      <c r="A42" s="7"/>
      <c r="B42" s="7"/>
      <c r="C42" s="7"/>
      <c r="D42" s="7"/>
      <c r="E42" s="36"/>
    </row>
    <row r="43" spans="1:5" x14ac:dyDescent="0.25">
      <c r="A43" s="16">
        <v>4000</v>
      </c>
      <c r="B43" s="15" t="s">
        <v>77</v>
      </c>
      <c r="C43" s="7"/>
      <c r="D43" s="7"/>
      <c r="E43" s="36"/>
    </row>
    <row r="44" spans="1:5" x14ac:dyDescent="0.25">
      <c r="A44" s="9">
        <v>4110</v>
      </c>
      <c r="B44" s="10" t="s">
        <v>78</v>
      </c>
      <c r="C44" s="11">
        <v>10000</v>
      </c>
      <c r="D44" s="11">
        <v>29820</v>
      </c>
      <c r="E44" s="36">
        <f t="shared" si="0"/>
        <v>-0.66465459423205897</v>
      </c>
    </row>
    <row r="45" spans="1:5" x14ac:dyDescent="0.25">
      <c r="A45" s="9">
        <v>4120</v>
      </c>
      <c r="B45" s="10" t="s">
        <v>79</v>
      </c>
      <c r="C45" s="11">
        <v>13870</v>
      </c>
      <c r="D45" s="11">
        <v>13870</v>
      </c>
      <c r="E45" s="36">
        <f t="shared" si="0"/>
        <v>0</v>
      </c>
    </row>
    <row r="46" spans="1:5" x14ac:dyDescent="0.25">
      <c r="A46" s="9">
        <v>4250</v>
      </c>
      <c r="B46" s="10" t="s">
        <v>80</v>
      </c>
      <c r="C46" s="11">
        <f>9185+1500</f>
        <v>10685</v>
      </c>
      <c r="D46" s="11">
        <v>9185</v>
      </c>
      <c r="E46" s="36">
        <f t="shared" si="0"/>
        <v>0.16330974414806751</v>
      </c>
    </row>
    <row r="47" spans="1:5" x14ac:dyDescent="0.25">
      <c r="A47" s="9">
        <v>4300</v>
      </c>
      <c r="B47" s="10" t="s">
        <v>81</v>
      </c>
      <c r="C47" s="11">
        <v>4180</v>
      </c>
      <c r="D47" s="11">
        <v>4180</v>
      </c>
      <c r="E47" s="36">
        <f t="shared" si="0"/>
        <v>0</v>
      </c>
    </row>
    <row r="48" spans="1:5" x14ac:dyDescent="0.25">
      <c r="A48" s="9">
        <v>4400</v>
      </c>
      <c r="B48" s="10" t="s">
        <v>82</v>
      </c>
      <c r="C48" s="9">
        <v>190</v>
      </c>
      <c r="D48" s="9">
        <v>190</v>
      </c>
      <c r="E48" s="36">
        <f t="shared" si="0"/>
        <v>0</v>
      </c>
    </row>
    <row r="49" spans="1:5" x14ac:dyDescent="0.25">
      <c r="A49" s="9">
        <v>4500</v>
      </c>
      <c r="B49" s="10" t="s">
        <v>83</v>
      </c>
      <c r="C49" s="11">
        <v>9275</v>
      </c>
      <c r="D49" s="11">
        <v>9275</v>
      </c>
      <c r="E49" s="36">
        <f t="shared" si="0"/>
        <v>0</v>
      </c>
    </row>
    <row r="50" spans="1:5" x14ac:dyDescent="0.25">
      <c r="A50" s="16"/>
      <c r="B50" s="16"/>
      <c r="C50" s="23"/>
      <c r="D50" s="23"/>
      <c r="E50" s="36"/>
    </row>
    <row r="51" spans="1:5" x14ac:dyDescent="0.25">
      <c r="A51" s="16">
        <v>6000</v>
      </c>
      <c r="B51" s="15" t="s">
        <v>84</v>
      </c>
      <c r="C51" s="7"/>
      <c r="D51" s="7"/>
      <c r="E51" s="36"/>
    </row>
    <row r="52" spans="1:5" x14ac:dyDescent="0.25">
      <c r="A52" s="9">
        <v>6310</v>
      </c>
      <c r="B52" s="10" t="s">
        <v>85</v>
      </c>
      <c r="C52" s="11">
        <v>14050</v>
      </c>
      <c r="D52" s="11">
        <v>14050</v>
      </c>
      <c r="E52" s="36">
        <f t="shared" si="0"/>
        <v>0</v>
      </c>
    </row>
    <row r="53" spans="1:5" x14ac:dyDescent="0.25">
      <c r="A53" s="9">
        <v>6320</v>
      </c>
      <c r="B53" s="10" t="s">
        <v>86</v>
      </c>
      <c r="C53" s="11">
        <v>16540</v>
      </c>
      <c r="D53" s="11">
        <v>16540</v>
      </c>
      <c r="E53" s="36">
        <f t="shared" si="0"/>
        <v>0</v>
      </c>
    </row>
    <row r="54" spans="1:5" x14ac:dyDescent="0.25">
      <c r="A54" s="9">
        <v>6330</v>
      </c>
      <c r="B54" s="10" t="s">
        <v>130</v>
      </c>
      <c r="C54" s="9">
        <v>16750</v>
      </c>
      <c r="D54" s="9"/>
      <c r="E54" s="36"/>
    </row>
    <row r="55" spans="1:5" ht="15.75" x14ac:dyDescent="0.25">
      <c r="A55" s="54" t="s">
        <v>87</v>
      </c>
      <c r="B55" s="54"/>
      <c r="C55" s="28">
        <f>SUM(C29:C54)</f>
        <v>264275</v>
      </c>
      <c r="D55" s="28">
        <f>SUM(D29:D53)</f>
        <v>272905</v>
      </c>
      <c r="E55" s="36">
        <f>(C55-D55)/D55</f>
        <v>-3.1622725856983197E-2</v>
      </c>
    </row>
    <row r="56" spans="1:5" x14ac:dyDescent="0.25">
      <c r="A56" s="16"/>
      <c r="B56" s="16"/>
      <c r="C56" s="9"/>
      <c r="D56" s="9"/>
      <c r="E56" s="36"/>
    </row>
    <row r="57" spans="1:5" ht="15.75" x14ac:dyDescent="0.25">
      <c r="A57" s="50" t="s">
        <v>88</v>
      </c>
      <c r="B57" s="50"/>
      <c r="C57" s="9"/>
      <c r="D57" s="9"/>
      <c r="E57" s="36"/>
    </row>
    <row r="58" spans="1:5" x14ac:dyDescent="0.25">
      <c r="A58" s="16">
        <v>8000</v>
      </c>
      <c r="B58" s="16"/>
      <c r="C58" s="9"/>
      <c r="D58" s="9"/>
      <c r="E58" s="36"/>
    </row>
    <row r="59" spans="1:5" x14ac:dyDescent="0.25">
      <c r="A59" s="9">
        <v>8120</v>
      </c>
      <c r="B59" s="10" t="s">
        <v>89</v>
      </c>
      <c r="C59" s="11">
        <v>8960</v>
      </c>
      <c r="D59" s="11">
        <v>8960</v>
      </c>
      <c r="E59" s="36">
        <f t="shared" si="0"/>
        <v>0</v>
      </c>
    </row>
    <row r="60" spans="1:5" x14ac:dyDescent="0.25">
      <c r="A60" s="9">
        <v>8160</v>
      </c>
      <c r="B60" s="10" t="s">
        <v>90</v>
      </c>
      <c r="C60" s="11">
        <f>'2016 Capital Budget'!C27+'2016 Capital Budget'!D26+'2016 Capital Budget'!E25</f>
        <v>33840</v>
      </c>
      <c r="D60" s="11">
        <v>24970</v>
      </c>
      <c r="E60" s="36">
        <f t="shared" si="0"/>
        <v>0.35522627152583097</v>
      </c>
    </row>
    <row r="61" spans="1:5" x14ac:dyDescent="0.25">
      <c r="A61" s="9"/>
      <c r="B61" s="10"/>
      <c r="C61" s="9"/>
      <c r="D61" s="9"/>
      <c r="E61" s="36"/>
    </row>
    <row r="62" spans="1:5" ht="15.75" x14ac:dyDescent="0.25">
      <c r="A62" s="54" t="s">
        <v>91</v>
      </c>
      <c r="B62" s="54"/>
      <c r="C62" s="28">
        <f>C59+C60</f>
        <v>42800</v>
      </c>
      <c r="D62" s="28">
        <f>D59+D60</f>
        <v>33930</v>
      </c>
      <c r="E62" s="36">
        <f t="shared" si="0"/>
        <v>0.26142057176539935</v>
      </c>
    </row>
    <row r="63" spans="1:5" x14ac:dyDescent="0.25">
      <c r="A63" s="9"/>
      <c r="B63" s="16"/>
      <c r="C63" s="9"/>
      <c r="D63" s="9"/>
      <c r="E63" s="36"/>
    </row>
    <row r="64" spans="1:5" x14ac:dyDescent="0.25">
      <c r="A64" s="9"/>
      <c r="B64" s="16"/>
      <c r="C64" s="9"/>
      <c r="D64" s="9"/>
      <c r="E64" s="36"/>
    </row>
    <row r="65" spans="1:5" ht="15.75" x14ac:dyDescent="0.25">
      <c r="A65" s="50" t="s">
        <v>92</v>
      </c>
      <c r="B65" s="50"/>
      <c r="C65" s="26">
        <f>C24+C55+C62</f>
        <v>753351.25</v>
      </c>
      <c r="D65" s="26">
        <f>D24+D55+D62</f>
        <v>676210</v>
      </c>
      <c r="E65" s="36">
        <f t="shared" si="0"/>
        <v>0.1140788364561305</v>
      </c>
    </row>
    <row r="66" spans="1:5" x14ac:dyDescent="0.25">
      <c r="A66" s="49"/>
      <c r="B66" s="49"/>
      <c r="C66" s="9"/>
      <c r="D66" s="9"/>
      <c r="E66" s="36"/>
    </row>
    <row r="67" spans="1:5" ht="15.75" x14ac:dyDescent="0.25">
      <c r="A67" s="50" t="s">
        <v>93</v>
      </c>
      <c r="B67" s="50"/>
      <c r="C67" s="11">
        <f>'2015 Expenditures'!C66</f>
        <v>4790</v>
      </c>
      <c r="D67" s="11">
        <f>'2015 Expenditures'!D66</f>
        <v>5125</v>
      </c>
      <c r="E67" s="36">
        <f t="shared" si="0"/>
        <v>-6.5365853658536588E-2</v>
      </c>
    </row>
  </sheetData>
  <mergeCells count="12">
    <mergeCell ref="A67:B67"/>
    <mergeCell ref="B1:B2"/>
    <mergeCell ref="C1:C2"/>
    <mergeCell ref="D1:D2"/>
    <mergeCell ref="A3:B3"/>
    <mergeCell ref="A4:B4"/>
    <mergeCell ref="A26:B26"/>
    <mergeCell ref="A55:B55"/>
    <mergeCell ref="A57:B57"/>
    <mergeCell ref="A62:B62"/>
    <mergeCell ref="A65:B65"/>
    <mergeCell ref="A66:B6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11" sqref="D11"/>
    </sheetView>
  </sheetViews>
  <sheetFormatPr defaultRowHeight="15" x14ac:dyDescent="0.25"/>
  <cols>
    <col min="1" max="1" width="32.85546875" customWidth="1"/>
    <col min="2" max="2" width="45.42578125" bestFit="1" customWidth="1"/>
    <col min="3" max="4" width="21.140625" bestFit="1" customWidth="1"/>
    <col min="5" max="5" width="26.5703125" bestFit="1" customWidth="1"/>
  </cols>
  <sheetData>
    <row r="1" spans="1:5" x14ac:dyDescent="0.25">
      <c r="B1" s="34" t="s">
        <v>2</v>
      </c>
      <c r="C1" s="35" t="s">
        <v>131</v>
      </c>
      <c r="D1" s="35" t="s">
        <v>132</v>
      </c>
      <c r="E1" s="35" t="s">
        <v>108</v>
      </c>
    </row>
    <row r="2" spans="1:5" x14ac:dyDescent="0.25">
      <c r="A2" s="16">
        <v>9000</v>
      </c>
      <c r="B2" s="15" t="s">
        <v>98</v>
      </c>
      <c r="C2" s="7"/>
      <c r="D2" s="8"/>
    </row>
    <row r="3" spans="1:5" x14ac:dyDescent="0.25">
      <c r="A3" s="9">
        <v>9300</v>
      </c>
      <c r="B3" s="10" t="s">
        <v>109</v>
      </c>
      <c r="C3" s="11">
        <v>83750</v>
      </c>
      <c r="D3" s="11">
        <v>82700</v>
      </c>
      <c r="E3" s="36">
        <f>(C3-D3)/D3</f>
        <v>1.2696493349455865E-2</v>
      </c>
    </row>
    <row r="4" spans="1:5" x14ac:dyDescent="0.25">
      <c r="A4" s="9"/>
      <c r="B4" s="9" t="s">
        <v>94</v>
      </c>
      <c r="C4" s="9"/>
      <c r="D4" s="9"/>
      <c r="E4" s="36"/>
    </row>
    <row r="5" spans="1:5" x14ac:dyDescent="0.25">
      <c r="A5" s="9">
        <v>9500</v>
      </c>
      <c r="B5" s="10" t="s">
        <v>95</v>
      </c>
      <c r="C5" s="11">
        <v>16500</v>
      </c>
      <c r="D5" s="11">
        <v>16500</v>
      </c>
      <c r="E5" s="36">
        <f t="shared" ref="E5:E8" si="0">(C5-D5)/D5</f>
        <v>0</v>
      </c>
    </row>
    <row r="6" spans="1:5" x14ac:dyDescent="0.25">
      <c r="A6" s="9"/>
      <c r="B6" s="9" t="s">
        <v>96</v>
      </c>
      <c r="C6" s="9"/>
      <c r="D6" s="9"/>
      <c r="E6" s="36"/>
    </row>
    <row r="7" spans="1:5" x14ac:dyDescent="0.25">
      <c r="A7" s="9"/>
      <c r="B7" s="10"/>
      <c r="C7" s="9"/>
      <c r="D7" s="9"/>
      <c r="E7" s="36"/>
    </row>
    <row r="8" spans="1:5" ht="15.75" x14ac:dyDescent="0.25">
      <c r="A8" s="50" t="s">
        <v>97</v>
      </c>
      <c r="B8" s="50"/>
      <c r="C8" s="26">
        <f>C3+C5</f>
        <v>100250</v>
      </c>
      <c r="D8" s="26">
        <f>D3+D5</f>
        <v>99200</v>
      </c>
      <c r="E8" s="36">
        <f t="shared" si="0"/>
        <v>1.0584677419354838E-2</v>
      </c>
    </row>
    <row r="11" spans="1:5" ht="15.75" x14ac:dyDescent="0.25">
      <c r="A11" s="17" t="s">
        <v>110</v>
      </c>
    </row>
    <row r="12" spans="1:5" ht="15.75" x14ac:dyDescent="0.25">
      <c r="A12" s="17"/>
    </row>
    <row r="13" spans="1:5" ht="15.75" x14ac:dyDescent="0.25">
      <c r="A13" s="33" t="s">
        <v>111</v>
      </c>
    </row>
    <row r="14" spans="1:5" ht="16.5" thickBot="1" x14ac:dyDescent="0.3">
      <c r="A14" s="33"/>
    </row>
    <row r="15" spans="1:5" ht="48" thickBot="1" x14ac:dyDescent="0.3">
      <c r="A15" s="37" t="s">
        <v>112</v>
      </c>
      <c r="B15" s="38" t="s">
        <v>113</v>
      </c>
      <c r="C15" s="38" t="s">
        <v>114</v>
      </c>
    </row>
    <row r="16" spans="1:5" ht="16.5" thickBot="1" x14ac:dyDescent="0.3">
      <c r="A16" s="39" t="s">
        <v>115</v>
      </c>
      <c r="B16" s="40">
        <v>12500</v>
      </c>
      <c r="C16" s="41">
        <v>2500</v>
      </c>
    </row>
    <row r="17" spans="1:8" ht="16.5" thickBot="1" x14ac:dyDescent="0.3">
      <c r="A17" s="39" t="s">
        <v>116</v>
      </c>
      <c r="B17" s="40">
        <v>10000</v>
      </c>
      <c r="C17" s="41">
        <v>2000</v>
      </c>
    </row>
    <row r="18" spans="1:8" ht="16.5" thickBot="1" x14ac:dyDescent="0.3">
      <c r="A18" s="39" t="s">
        <v>117</v>
      </c>
      <c r="B18" s="40">
        <v>6000</v>
      </c>
      <c r="C18" s="41">
        <v>1200</v>
      </c>
    </row>
    <row r="19" spans="1:8" ht="16.5" thickBot="1" x14ac:dyDescent="0.3">
      <c r="A19" s="39" t="s">
        <v>118</v>
      </c>
      <c r="B19" s="40">
        <v>16300</v>
      </c>
      <c r="C19" s="41">
        <v>3260</v>
      </c>
    </row>
    <row r="20" spans="1:8" ht="15.75" x14ac:dyDescent="0.25">
      <c r="A20" s="33"/>
    </row>
    <row r="21" spans="1:8" ht="15.75" x14ac:dyDescent="0.25">
      <c r="A21" s="33" t="s">
        <v>119</v>
      </c>
    </row>
    <row r="22" spans="1:8" ht="16.5" thickBot="1" x14ac:dyDescent="0.3">
      <c r="A22" s="17"/>
    </row>
    <row r="23" spans="1:8" ht="15.75" x14ac:dyDescent="0.25">
      <c r="A23" s="55" t="s">
        <v>120</v>
      </c>
      <c r="B23" s="55" t="s">
        <v>113</v>
      </c>
      <c r="C23" s="42" t="s">
        <v>121</v>
      </c>
      <c r="D23" s="42" t="s">
        <v>122</v>
      </c>
      <c r="E23" s="42" t="s">
        <v>123</v>
      </c>
      <c r="F23" s="44" t="s">
        <v>124</v>
      </c>
      <c r="G23" s="42" t="s">
        <v>125</v>
      </c>
      <c r="H23" s="55" t="s">
        <v>126</v>
      </c>
    </row>
    <row r="24" spans="1:8" ht="16.5" thickBot="1" x14ac:dyDescent="0.3">
      <c r="A24" s="56"/>
      <c r="B24" s="56"/>
      <c r="C24" s="43">
        <v>0.2</v>
      </c>
      <c r="D24" s="43">
        <v>0.15</v>
      </c>
      <c r="E24" s="43">
        <v>0.15</v>
      </c>
      <c r="F24" s="43">
        <v>0.1</v>
      </c>
      <c r="G24" s="43">
        <v>0.1</v>
      </c>
      <c r="H24" s="56"/>
    </row>
    <row r="25" spans="1:8" ht="16.5" thickBot="1" x14ac:dyDescent="0.3">
      <c r="A25" s="39" t="s">
        <v>127</v>
      </c>
      <c r="B25" s="45">
        <v>70250</v>
      </c>
      <c r="C25" s="46">
        <v>14050</v>
      </c>
      <c r="D25" s="46">
        <v>8430</v>
      </c>
      <c r="E25" s="46">
        <v>7166</v>
      </c>
      <c r="F25" s="46">
        <v>4061</v>
      </c>
      <c r="G25" s="46">
        <v>3654</v>
      </c>
      <c r="H25" s="45">
        <v>32890</v>
      </c>
    </row>
    <row r="26" spans="1:8" ht="16.5" thickBot="1" x14ac:dyDescent="0.3">
      <c r="A26" s="39" t="s">
        <v>128</v>
      </c>
      <c r="B26" s="45">
        <v>82700</v>
      </c>
      <c r="C26" s="46">
        <v>16540</v>
      </c>
      <c r="D26" s="46">
        <v>9924</v>
      </c>
      <c r="E26" s="46">
        <v>8435</v>
      </c>
      <c r="F26" s="46">
        <v>4780</v>
      </c>
      <c r="G26" s="46">
        <v>4302</v>
      </c>
      <c r="H26" s="45">
        <v>38718</v>
      </c>
    </row>
    <row r="27" spans="1:8" ht="16.5" thickBot="1" x14ac:dyDescent="0.3">
      <c r="A27" s="39" t="s">
        <v>129</v>
      </c>
      <c r="B27" s="45">
        <v>83750</v>
      </c>
      <c r="C27" s="46">
        <f>B27*0.2</f>
        <v>16750</v>
      </c>
      <c r="D27" s="46">
        <f>(B27-C27)*0.15</f>
        <v>10050</v>
      </c>
      <c r="E27" s="46">
        <f>(B27-C27-D27)*0.15</f>
        <v>8542.5</v>
      </c>
      <c r="F27" s="46">
        <f>(B27-C27-D27-E27)*0.1</f>
        <v>4840.75</v>
      </c>
      <c r="G27" s="46">
        <f>(B27-C27-D27-E27-F27)*0.1</f>
        <v>4356.6750000000002</v>
      </c>
      <c r="H27" s="45">
        <f>(B27)-SUM(C27:G27)</f>
        <v>39210.074999999997</v>
      </c>
    </row>
  </sheetData>
  <mergeCells count="4">
    <mergeCell ref="A8:B8"/>
    <mergeCell ref="A23:A24"/>
    <mergeCell ref="B23:B24"/>
    <mergeCell ref="H23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 Summary</vt:lpstr>
      <vt:lpstr>2015 Revenues</vt:lpstr>
      <vt:lpstr>2015 Expenditures</vt:lpstr>
      <vt:lpstr>2015 Capital Budget</vt:lpstr>
      <vt:lpstr>2016 Summary</vt:lpstr>
      <vt:lpstr>2016 Revenues</vt:lpstr>
      <vt:lpstr>2016 Expenditures</vt:lpstr>
      <vt:lpstr>2016 Capital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Haley</dc:creator>
  <cp:lastModifiedBy>Katie Haley</cp:lastModifiedBy>
  <dcterms:created xsi:type="dcterms:W3CDTF">2016-12-01T17:51:30Z</dcterms:created>
  <dcterms:modified xsi:type="dcterms:W3CDTF">2016-12-10T20:17:00Z</dcterms:modified>
</cp:coreProperties>
</file>